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0" windowWidth="12120" windowHeight="7920" tabRatio="908" activeTab="9"/>
  </bookViews>
  <sheets>
    <sheet name="First-Page" sheetId="1" r:id="rId1"/>
    <sheet name="content" sheetId="2" r:id="rId2"/>
    <sheet name="Sheet1" sheetId="3" r:id="rId3"/>
    <sheet name="AT-1-Gen_Info " sheetId="4" r:id="rId4"/>
    <sheet name="AT-2-S1 BUDGET" sheetId="5" r:id="rId5"/>
    <sheet name="AT_2A_fundflow" sheetId="6" r:id="rId6"/>
    <sheet name="AT-2B_DBT" sheetId="7" r:id="rId7"/>
    <sheet name="AT-3" sheetId="8" r:id="rId8"/>
    <sheet name="AT3A_cvrg(Insti)_PY" sheetId="9" r:id="rId9"/>
    <sheet name="AT3B_cvrg(Insti)_UPY " sheetId="10" r:id="rId10"/>
    <sheet name="AT3C_cvrg(Insti)_UPY " sheetId="11" r:id="rId11"/>
    <sheet name="enrolment vs availed_PY" sheetId="12" r:id="rId12"/>
    <sheet name="enrolment vs availed_UPY" sheetId="13" r:id="rId13"/>
    <sheet name="AT-4B" sheetId="14" r:id="rId14"/>
    <sheet name="T5_PLAN_vs_PRFM" sheetId="15" r:id="rId15"/>
    <sheet name="T5A_PLAN_vs_PRFM " sheetId="16" r:id="rId16"/>
    <sheet name="T5B_PLAN_vs_PRFM  (2)" sheetId="17" r:id="rId17"/>
    <sheet name="T5C_Drought_PLAN_vs_PRFM " sheetId="18" r:id="rId18"/>
    <sheet name="T5D_Drought_PLAN_vs_PRFM  " sheetId="19" r:id="rId19"/>
    <sheet name="T6_FG_py_Utlsn" sheetId="20" r:id="rId20"/>
    <sheet name="T6A_FG_Upy_Utlsn " sheetId="21" r:id="rId21"/>
    <sheet name="T6B_Pay_FG_FCI_Pry" sheetId="22" r:id="rId22"/>
    <sheet name="T6C_Coarse_Grain" sheetId="23" r:id="rId23"/>
    <sheet name="T7_CC_PY_Utlsn" sheetId="24" r:id="rId24"/>
    <sheet name="T7ACC_UPY_Utlsn " sheetId="25" r:id="rId25"/>
    <sheet name="AT-8_Hon_CCH_Pry" sheetId="26" r:id="rId26"/>
    <sheet name="AT-8A_Hon_CCH_UPry" sheetId="27" r:id="rId27"/>
    <sheet name="AT9_TA" sheetId="28" r:id="rId28"/>
    <sheet name="AT10_MME" sheetId="29" r:id="rId29"/>
    <sheet name="AT-10A" sheetId="30" r:id="rId30"/>
    <sheet name="AT-10B" sheetId="31" r:id="rId31"/>
    <sheet name="AT- 10C" sheetId="32" r:id="rId32"/>
    <sheet name="AT-10D" sheetId="33" r:id="rId33"/>
    <sheet name="AT-10E" sheetId="34" r:id="rId34"/>
    <sheet name="AT-10 F " sheetId="35" r:id="rId35"/>
    <sheet name="AT11_KS Year wise" sheetId="36" r:id="rId36"/>
    <sheet name="AT11A_KS-District wise" sheetId="37" r:id="rId37"/>
    <sheet name="AT12_KD-New" sheetId="38" r:id="rId38"/>
    <sheet name="AT12A_KD-Replacement" sheetId="39" r:id="rId39"/>
    <sheet name="AT-13" sheetId="40" r:id="rId40"/>
    <sheet name="AT-14" sheetId="41" r:id="rId41"/>
    <sheet name="AT-14A" sheetId="42" r:id="rId42"/>
    <sheet name="AT-15" sheetId="43" r:id="rId43"/>
    <sheet name="AT-16" sheetId="44" r:id="rId44"/>
    <sheet name="AT_17_Coverage-RBSK " sheetId="45" r:id="rId45"/>
    <sheet name="AT18_Details_Community " sheetId="46" r:id="rId46"/>
    <sheet name="AT_19_Impl_Agency" sheetId="47" r:id="rId47"/>
    <sheet name="AT_20_SchoolCookingagency " sheetId="48" r:id="rId48"/>
    <sheet name="AT-21" sheetId="49" r:id="rId49"/>
    <sheet name="AT-22" sheetId="50" r:id="rId50"/>
    <sheet name="AT-23" sheetId="51" r:id="rId51"/>
    <sheet name="AT 23A" sheetId="52" r:id="rId52"/>
    <sheet name="AT-24" sheetId="53" r:id="rId53"/>
    <sheet name="AT-25" sheetId="54" r:id="rId54"/>
    <sheet name="Sheet2" sheetId="55" r:id="rId55"/>
    <sheet name="AT26_NoWD" sheetId="56" r:id="rId56"/>
    <sheet name="AT26A_NoWD" sheetId="57" r:id="rId57"/>
    <sheet name="AT27_Req_FG_CA_Pry" sheetId="58" r:id="rId58"/>
    <sheet name="AT27A_Req_FG_CA_UPry " sheetId="59" r:id="rId59"/>
    <sheet name="AT27B_Req_FG_CA_NCLP" sheetId="60" r:id="rId60"/>
    <sheet name="AT27C_Req_FG_CA_Drought-Pry" sheetId="61" r:id="rId61"/>
    <sheet name="AT27D_Req_FG_CA_Drought-UPry" sheetId="62" r:id="rId62"/>
    <sheet name="AT_28_RqmtKitchen" sheetId="63" r:id="rId63"/>
    <sheet name="AT-28A_RqmtPlinthArea" sheetId="64" r:id="rId64"/>
    <sheet name="AT-28B_Kitchen repair" sheetId="65" r:id="rId65"/>
    <sheet name="AT29_K_D" sheetId="66" r:id="rId66"/>
    <sheet name="AT29_A_Replacement KD" sheetId="67" r:id="rId67"/>
    <sheet name="AT-30_Coook-cum-Helper" sheetId="68" r:id="rId68"/>
    <sheet name="AT_31_Budget_provision" sheetId="69" r:id="rId69"/>
    <sheet name="AT32_Drought Pry Util" sheetId="70" r:id="rId70"/>
    <sheet name="AT32A_Drought U.Pry Util " sheetId="71" r:id="rId71"/>
  </sheets>
  <definedNames>
    <definedName name="_xlnm.Print_Area" localSheetId="31">'AT- 10C'!$A$1:$J$24</definedName>
    <definedName name="_xlnm.Print_Area" localSheetId="44">'AT_17_Coverage-RBSK '!$A$1:$L$27</definedName>
    <definedName name="_xlnm.Print_Area" localSheetId="46">'AT_19_Impl_Agency'!$A$1:$J$33</definedName>
    <definedName name="_xlnm.Print_Area" localSheetId="47">'AT_20_SchoolCookingagency '!$A$1:$M$28</definedName>
    <definedName name="_xlnm.Print_Area" localSheetId="62">'AT_28_RqmtKitchen'!$A$1:$S$25</definedName>
    <definedName name="_xlnm.Print_Area" localSheetId="5">'AT_2A_fundflow'!$A$1:$W$32</definedName>
    <definedName name="_xlnm.Print_Area" localSheetId="68">'AT_31_Budget_provision'!$A$1:$X$34</definedName>
    <definedName name="_xlnm.Print_Area" localSheetId="28">'AT10_MME'!$A$1:$H$32</definedName>
    <definedName name="_xlnm.Print_Area" localSheetId="30">'AT-10B'!$A$1:$I$31</definedName>
    <definedName name="_xlnm.Print_Area" localSheetId="35">'AT11_KS Year wise'!$A$1:$K$37</definedName>
    <definedName name="_xlnm.Print_Area" localSheetId="36">'AT11A_KS-District wise'!$A$1:$K$28</definedName>
    <definedName name="_xlnm.Print_Area" localSheetId="37">'AT12_KD-New'!$A$1:$K$29</definedName>
    <definedName name="_xlnm.Print_Area" localSheetId="38">'AT12A_KD-Replacement'!$A$1:$K$28</definedName>
    <definedName name="_xlnm.Print_Area" localSheetId="39">'AT-13'!$A$1:$H$25</definedName>
    <definedName name="_xlnm.Print_Area" localSheetId="40">'AT-14'!$A$1:$N$25</definedName>
    <definedName name="_xlnm.Print_Area" localSheetId="42">'AT-15'!$A$1:$L$24</definedName>
    <definedName name="_xlnm.Print_Area" localSheetId="45">'AT18_Details_Community '!$A$1:$F$28</definedName>
    <definedName name="_xlnm.Print_Area" localSheetId="3">'AT-1-Gen_Info '!$A$1:$T$48</definedName>
    <definedName name="_xlnm.Print_Area" localSheetId="48">'AT-21'!$A$1:$L$26</definedName>
    <definedName name="_xlnm.Print_Area" localSheetId="52">'AT-24'!$A$1:$M$29</definedName>
    <definedName name="_xlnm.Print_Area" localSheetId="55">'AT26_NoWD'!$A$1:$L$34</definedName>
    <definedName name="_xlnm.Print_Area" localSheetId="56">'AT26A_NoWD'!$A$1:$K$34</definedName>
    <definedName name="_xlnm.Print_Area" localSheetId="57">'AT27_Req_FG_CA_Pry'!$A$1:$T$28</definedName>
    <definedName name="_xlnm.Print_Area" localSheetId="58">'AT27A_Req_FG_CA_UPry '!$A$1:$T$28</definedName>
    <definedName name="_xlnm.Print_Area" localSheetId="59">'AT27B_Req_FG_CA_NCLP'!$A$1:$R$28</definedName>
    <definedName name="_xlnm.Print_Area" localSheetId="60">'AT27C_Req_FG_CA_Drought-Pry'!$A$1:$R$28</definedName>
    <definedName name="_xlnm.Print_Area" localSheetId="61">'AT27D_Req_FG_CA_Drought-UPry'!$A$1:$R$28</definedName>
    <definedName name="_xlnm.Print_Area" localSheetId="63">'AT-28A_RqmtPlinthArea'!$A$1:$S$26</definedName>
    <definedName name="_xlnm.Print_Area" localSheetId="65">'AT29_K_D'!$A$1:$V$29</definedName>
    <definedName name="_xlnm.Print_Area" localSheetId="6">'AT-2B_DBT'!$A$1:$L$32</definedName>
    <definedName name="_xlnm.Print_Area" localSheetId="4">'AT-2-S1 BUDGET'!$A$1:$V$36</definedName>
    <definedName name="_xlnm.Print_Area" localSheetId="67">'AT-30_Coook-cum-Helper'!$A$1:$L$28</definedName>
    <definedName name="_xlnm.Print_Area" localSheetId="8">'AT3A_cvrg(Insti)_PY'!$A$1:$N$31</definedName>
    <definedName name="_xlnm.Print_Area" localSheetId="9">'AT3B_cvrg(Insti)_UPY '!$A$1:$N$31</definedName>
    <definedName name="_xlnm.Print_Area" localSheetId="10">'AT3C_cvrg(Insti)_UPY '!$A$1:$N$31</definedName>
    <definedName name="_xlnm.Print_Area" localSheetId="25">'AT-8_Hon_CCH_Pry'!$A$1:$V$29</definedName>
    <definedName name="_xlnm.Print_Area" localSheetId="26">'AT-8A_Hon_CCH_UPry'!$A$1:$V$28</definedName>
    <definedName name="_xlnm.Print_Area" localSheetId="27">'AT9_TA'!$A$1:$I$27</definedName>
    <definedName name="_xlnm.Print_Area" localSheetId="1">'content'!$A$1:$D$74</definedName>
    <definedName name="_xlnm.Print_Area" localSheetId="11">'enrolment vs availed_PY'!$A$1:$Q$29</definedName>
    <definedName name="_xlnm.Print_Area" localSheetId="12">'enrolment vs availed_UPY'!$A$1:$Q$30</definedName>
    <definedName name="_xlnm.Print_Area" localSheetId="14">'T5_PLAN_vs_PRFM'!$A$1:$J$27</definedName>
    <definedName name="_xlnm.Print_Area" localSheetId="15">'T5A_PLAN_vs_PRFM '!$A$1:$J$27</definedName>
    <definedName name="_xlnm.Print_Area" localSheetId="16">'T5B_PLAN_vs_PRFM  (2)'!$A$1:$J$27</definedName>
    <definedName name="_xlnm.Print_Area" localSheetId="17">'T5C_Drought_PLAN_vs_PRFM '!$A$1:$J$27</definedName>
    <definedName name="_xlnm.Print_Area" localSheetId="18">'T5D_Drought_PLAN_vs_PRFM  '!$A$1:$J$27</definedName>
    <definedName name="_xlnm.Print_Area" localSheetId="19">'T6_FG_py_Utlsn'!$A$1:$L$29</definedName>
    <definedName name="_xlnm.Print_Area" localSheetId="20">'T6A_FG_Upy_Utlsn '!$A$1:$L$29</definedName>
    <definedName name="_xlnm.Print_Area" localSheetId="21">'T6B_Pay_FG_FCI_Pry'!$A$1:$M$30</definedName>
    <definedName name="_xlnm.Print_Area" localSheetId="22">'T6C_Coarse_Grain'!$A$1:$L$28</definedName>
    <definedName name="_xlnm.Print_Area" localSheetId="23">'T7_CC_PY_Utlsn'!$A$1:$Q$30</definedName>
    <definedName name="_xlnm.Print_Area" localSheetId="24">'T7ACC_UPY_Utlsn '!$A$1:$Q$28</definedName>
  </definedNames>
  <calcPr fullCalcOnLoad="1"/>
</workbook>
</file>

<file path=xl/sharedStrings.xml><?xml version="1.0" encoding="utf-8"?>
<sst xmlns="http://schemas.openxmlformats.org/spreadsheetml/2006/main" count="3104" uniqueCount="1063">
  <si>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</si>
  <si>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</si>
  <si>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</si>
  <si>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</si>
  <si>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</si>
  <si>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</si>
  <si>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</si>
  <si>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-</t>
  </si>
  <si>
    <t>Govt: Government Schools</t>
  </si>
  <si>
    <t>LB: Local Body Schools</t>
  </si>
  <si>
    <t>GA: Govt Aided Schools</t>
  </si>
  <si>
    <t xml:space="preserve"> </t>
  </si>
  <si>
    <t>Date:_________</t>
  </si>
  <si>
    <t>(Only in MS-Excel Format)</t>
  </si>
  <si>
    <t xml:space="preserve">No. of children </t>
  </si>
  <si>
    <t>Total no. of meals served</t>
  </si>
  <si>
    <t>Total</t>
  </si>
  <si>
    <t>[Qnty in MTs]</t>
  </si>
  <si>
    <t>Rice</t>
  </si>
  <si>
    <t>Date:</t>
  </si>
  <si>
    <t>[Rs. in lakh]</t>
  </si>
  <si>
    <t>Sl. No.</t>
  </si>
  <si>
    <t>Primary</t>
  </si>
  <si>
    <t>Upper Primary</t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</si>
  <si>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</si>
  <si>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</si>
  <si>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</si>
  <si>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</si>
  <si>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</si>
  <si>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</si>
  <si>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</si>
  <si>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</si>
  <si>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</si>
  <si>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</si>
  <si>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</si>
  <si>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</si>
  <si>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</si>
  <si>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</si>
  <si>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*: District-wise allocation made by State/UT out of Central Assistance provided for the purpose.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</si>
  <si>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</si>
  <si>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</si>
  <si>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</si>
  <si>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</si>
  <si>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</si>
  <si>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</si>
  <si>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</si>
  <si>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</si>
  <si>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</si>
  <si>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</si>
  <si>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</si>
  <si>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</si>
  <si>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</si>
  <si>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</si>
  <si>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</si>
  <si>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</si>
  <si>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</si>
  <si>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</si>
  <si>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</si>
  <si>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</si>
  <si>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</si>
  <si>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</si>
  <si>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</si>
  <si>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</si>
  <si>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</si>
  <si>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</si>
  <si>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</si>
  <si>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</si>
  <si>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</si>
  <si>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</si>
  <si>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</si>
  <si>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</si>
  <si>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</si>
  <si>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</si>
  <si>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</si>
  <si>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</si>
  <si>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</si>
  <si>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</si>
  <si>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</si>
  <si>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</si>
  <si>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</si>
  <si>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Seal:</t>
  </si>
  <si>
    <t>Anticipated No. of working days</t>
  </si>
  <si>
    <t>Requirement of Foodgrains (in MTs)</t>
  </si>
  <si>
    <t>Table: AT-17</t>
  </si>
  <si>
    <t>Table: AT-3A</t>
  </si>
  <si>
    <t>Table: AT-3B</t>
  </si>
  <si>
    <t xml:space="preserve">Total </t>
  </si>
  <si>
    <t>Table: AT-7A</t>
  </si>
  <si>
    <t xml:space="preserve">Total Cooking cost expenditure                   </t>
  </si>
  <si>
    <t>Govt.</t>
  </si>
  <si>
    <t>Protein content     (in gms)</t>
  </si>
  <si>
    <t>Quantity                 (in gms)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</si>
  <si>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</si>
  <si>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</si>
  <si>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</si>
  <si>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</si>
  <si>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</si>
  <si>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</si>
  <si>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</si>
  <si>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</si>
  <si>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</si>
  <si>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</si>
  <si>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</si>
  <si>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 xml:space="preserve">Balance requirement of kitchen  cum stores </t>
  </si>
  <si>
    <t>Component</t>
  </si>
  <si>
    <t>No. of Meals served</t>
  </si>
  <si>
    <t xml:space="preserve">No. of working days on which MDM served </t>
  </si>
  <si>
    <t>Total (col.8+11-14)</t>
  </si>
  <si>
    <t>*</t>
  </si>
  <si>
    <t>Central assistance received</t>
  </si>
  <si>
    <t>*Rice</t>
  </si>
  <si>
    <t>*Wheat</t>
  </si>
  <si>
    <t>**</t>
  </si>
  <si>
    <t>***</t>
  </si>
  <si>
    <t>Total            (col 3+4+5+6)</t>
  </si>
  <si>
    <t>Total       (col.8+9+10+11)</t>
  </si>
  <si>
    <t>Total       (col.13+14+15+16)</t>
  </si>
  <si>
    <t>SHG</t>
  </si>
  <si>
    <t>NGO</t>
  </si>
  <si>
    <t>PRI - Panchayati Raj Institution</t>
  </si>
  <si>
    <t>SHG - Self Help Group</t>
  </si>
  <si>
    <t>VEC Village Education Committee</t>
  </si>
  <si>
    <t>WEC - Ward Education Committee</t>
  </si>
  <si>
    <t>Table: AT-20</t>
  </si>
  <si>
    <t>Cost of Foodgrain</t>
  </si>
  <si>
    <t>Cooking Cost</t>
  </si>
  <si>
    <t>Transportation Assistance</t>
  </si>
  <si>
    <t>MME</t>
  </si>
  <si>
    <t>Honorarium to Cook-cum-Helper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</si>
  <si>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</si>
  <si>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</si>
  <si>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</si>
  <si>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</si>
  <si>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</si>
  <si>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#</t>
  </si>
  <si>
    <t>##</t>
  </si>
  <si>
    <t xml:space="preserve">Unit Cost </t>
  </si>
  <si>
    <t>(Rs. In lakhs)</t>
  </si>
  <si>
    <t>No. of Institutions assigned to</t>
  </si>
  <si>
    <t>Grand total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</si>
  <si>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</si>
  <si>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</si>
  <si>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</si>
  <si>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</si>
  <si>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</si>
  <si>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</si>
  <si>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</si>
  <si>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</si>
  <si>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</si>
  <si>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</si>
  <si>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</si>
  <si>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</si>
  <si>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2nd Instalment</t>
  </si>
  <si>
    <t>$</t>
  </si>
  <si>
    <t>Budget Provision</t>
  </si>
  <si>
    <t>*: includes unspent balance at State, District, Block and school level (including NGOs/Private Agencies).</t>
  </si>
  <si>
    <t xml:space="preserve">Expenditure </t>
  </si>
  <si>
    <t xml:space="preserve"> Holidays</t>
  </si>
  <si>
    <t>Holidays</t>
  </si>
  <si>
    <t>No. of Schools not having Kitchen Shed</t>
  </si>
  <si>
    <t>Fund required</t>
  </si>
  <si>
    <t>Kitchen-cum-Store proposed this year</t>
  </si>
  <si>
    <t>Total fund required : (Col. 6+10+14+18)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</si>
  <si>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</si>
  <si>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</si>
  <si>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</si>
  <si>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</si>
  <si>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NYK: Nehru Yuva Kendra</t>
  </si>
  <si>
    <t>Cost   (in Rs.)</t>
  </si>
  <si>
    <t xml:space="preserve">Vegetables </t>
  </si>
  <si>
    <t>Central</t>
  </si>
  <si>
    <t>Proposed</t>
  </si>
  <si>
    <t>For Central Share</t>
  </si>
  <si>
    <t>For State Share</t>
  </si>
  <si>
    <t>Central Share</t>
  </si>
  <si>
    <t>Date on which Block / Gram Panchyat / School / Cooking Agency received funds</t>
  </si>
  <si>
    <t>Directorate / Authority</t>
  </si>
  <si>
    <t xml:space="preserve">*Total </t>
  </si>
  <si>
    <t>States / UTs will indicate their choice.</t>
  </si>
  <si>
    <t xml:space="preserve">Cost of foodgrains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</si>
  <si>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</si>
  <si>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</si>
  <si>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</si>
  <si>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</si>
  <si>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</si>
  <si>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</si>
  <si>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</si>
  <si>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</si>
  <si>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</si>
  <si>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</si>
  <si>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</si>
  <si>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</si>
  <si>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Trust</t>
  </si>
  <si>
    <t>PRI / GP/ Urban Local Body</t>
  </si>
  <si>
    <t>GP - Gram Panchayat</t>
  </si>
  <si>
    <t>No. of children covered</t>
  </si>
  <si>
    <t>No. of meals to be served  (Col. 4 x Col. 5)</t>
  </si>
  <si>
    <t>Name of Distict</t>
  </si>
  <si>
    <t>State Share</t>
  </si>
  <si>
    <t>Table: AT-8A</t>
  </si>
  <si>
    <t>Total       (col. 8+9+  10+11)</t>
  </si>
  <si>
    <t>Total            (col 3+4 +5+6)</t>
  </si>
  <si>
    <t>Table: AT-6B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</si>
  <si>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</si>
  <si>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</si>
  <si>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</si>
  <si>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</si>
  <si>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 xml:space="preserve">Tax per MT foodgrain, if any : </t>
  </si>
  <si>
    <t>(Govt+LB)</t>
  </si>
  <si>
    <t>GA</t>
  </si>
  <si>
    <t>State Share(9+12-15)</t>
  </si>
  <si>
    <t>Total(10+13-16)</t>
  </si>
  <si>
    <t xml:space="preserve">No. of schools </t>
  </si>
  <si>
    <t xml:space="preserve">Health Check -ups </t>
  </si>
  <si>
    <t>Name of  District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</si>
  <si>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</si>
  <si>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</si>
  <si>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</si>
  <si>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</si>
  <si>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</si>
  <si>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</si>
  <si>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</si>
  <si>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</si>
  <si>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</si>
  <si>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col.7 x col.8 x State's / UT's share</t>
  </si>
  <si>
    <t>Deworming tablets distributed</t>
  </si>
  <si>
    <t xml:space="preserve">[col. 9]x Rs. PDS rate for Special Category States  </t>
  </si>
  <si>
    <t xml:space="preserve">[col. 9]x Rs. 750 for other States/UTs. </t>
  </si>
  <si>
    <t>Distribution of spectacles</t>
  </si>
  <si>
    <t xml:space="preserve">If the cooking cost has been revised several times during the year, then all such costs should be indicated in separate rows and dates of their application in remarks column. </t>
  </si>
  <si>
    <t>Central             (col6+9-12)</t>
  </si>
  <si>
    <t>Central Share(8+11-14)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</si>
  <si>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</si>
  <si>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</si>
  <si>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</si>
  <si>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</si>
  <si>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</si>
  <si>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Procured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</si>
  <si>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</si>
  <si>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</si>
  <si>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</si>
  <si>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</si>
  <si>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</si>
  <si>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</si>
  <si>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</si>
  <si>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</si>
  <si>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</si>
  <si>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</si>
  <si>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</si>
  <si>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</si>
  <si>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</si>
  <si>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>2013-14</t>
  </si>
  <si>
    <t>Table: AT-3C</t>
  </si>
  <si>
    <t>Table: AT- 3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</si>
  <si>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</si>
  <si>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</si>
  <si>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</si>
  <si>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</si>
  <si>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</si>
  <si>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</si>
  <si>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</si>
  <si>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</si>
  <si>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</si>
  <si>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</si>
  <si>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</si>
  <si>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</si>
  <si>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</si>
  <si>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</si>
  <si>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</si>
  <si>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</si>
  <si>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</si>
  <si>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</si>
  <si>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>May</t>
  </si>
  <si>
    <t>Jun</t>
  </si>
  <si>
    <t>Jul</t>
  </si>
  <si>
    <t>Aug</t>
  </si>
  <si>
    <t>Sep</t>
  </si>
  <si>
    <t>Oct</t>
  </si>
  <si>
    <t>Nov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</si>
  <si>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</si>
  <si>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</si>
  <si>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</si>
  <si>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</si>
  <si>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</si>
  <si>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</si>
  <si>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</si>
  <si>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</si>
  <si>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</si>
  <si>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</si>
  <si>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</si>
  <si>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</si>
  <si>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</si>
  <si>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</si>
  <si>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</si>
  <si>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</si>
  <si>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</si>
  <si>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</si>
  <si>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</si>
  <si>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</si>
  <si>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</si>
  <si>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</si>
  <si>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</si>
  <si>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</si>
  <si>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</si>
  <si>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</si>
  <si>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</si>
  <si>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</si>
  <si>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</si>
  <si>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</si>
  <si>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</si>
  <si>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</si>
  <si>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</si>
  <si>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</si>
  <si>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</si>
  <si>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</si>
  <si>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</si>
  <si>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</si>
  <si>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</si>
  <si>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</si>
  <si>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</si>
  <si>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</si>
  <si>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</si>
  <si>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</si>
  <si>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</si>
  <si>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</si>
  <si>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Toll free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</si>
  <si>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Dedicated landline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</si>
  <si>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Call centre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</si>
  <si>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Emails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</si>
  <si>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Press news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</si>
  <si>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Radio/T.V.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</si>
  <si>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SMS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</si>
  <si>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Postal system</t>
    </r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</si>
  <si>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</si>
  <si>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</si>
  <si>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</si>
  <si>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</si>
  <si>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</si>
  <si>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</si>
  <si>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</si>
  <si>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</si>
  <si>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</si>
  <si>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</si>
  <si>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</si>
  <si>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</si>
  <si>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</si>
  <si>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</si>
  <si>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</si>
  <si>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</si>
  <si>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</si>
  <si>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</si>
  <si>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</si>
  <si>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Free of cost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</si>
  <si>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</si>
  <si>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</si>
  <si>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</si>
  <si>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</si>
  <si>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</si>
  <si>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</si>
  <si>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</si>
  <si>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r>
      <t xml:space="preserve">No. of working days </t>
    </r>
    <r>
      <rPr>
        <b/>
        <sz val="8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</si>
  <si>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r>
      <t>No. of working days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</si>
  <si>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 xml:space="preserve">Closing Balance**                 (col.4+5-6)                         </t>
  </si>
  <si>
    <t xml:space="preserve">Closing Balance**  (col.9+10-11)                         </t>
  </si>
  <si>
    <t>**: includes unspent balance at State, District, Block and school level (including NGOs/Private Agencies).</t>
  </si>
  <si>
    <t>* Including Drought also, if applicable</t>
  </si>
  <si>
    <t xml:space="preserve">Closing Balance**                  (col.4+5-6)                         </t>
  </si>
  <si>
    <t xml:space="preserve">Closing Balance** (col.9+10-11)                         </t>
  </si>
  <si>
    <t>** state share includes funds as well as monetary value of the commodities supplied by the State/UT</t>
  </si>
  <si>
    <t>** State</t>
  </si>
  <si>
    <t>**State</t>
  </si>
  <si>
    <t xml:space="preserve">**State (col.7+10-13) </t>
  </si>
  <si>
    <t xml:space="preserve">No. of Cook-cum-helpers approved by  PAB-MDM </t>
  </si>
  <si>
    <t xml:space="preserve">No. of CCHs engaged by States/UTs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</si>
  <si>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</si>
  <si>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</si>
  <si>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</si>
  <si>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</si>
  <si>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</si>
  <si>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</si>
  <si>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</si>
  <si>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</si>
  <si>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</si>
  <si>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</si>
  <si>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</si>
  <si>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</si>
  <si>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No. of Kitchens</t>
  </si>
  <si>
    <t>No. of institution covered</t>
  </si>
  <si>
    <t>SMC/VEC / WEC</t>
  </si>
  <si>
    <t>No. of SHG</t>
  </si>
  <si>
    <t>Total no. of Institutions</t>
  </si>
  <si>
    <t>Status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</si>
  <si>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</si>
  <si>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</si>
  <si>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</si>
  <si>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</si>
  <si>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</si>
  <si>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</si>
  <si>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</si>
  <si>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</si>
  <si>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`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</si>
  <si>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</si>
  <si>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</si>
  <si>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</si>
  <si>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</si>
  <si>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</si>
  <si>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</si>
  <si>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</si>
  <si>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</si>
  <si>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</si>
  <si>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</si>
  <si>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</si>
  <si>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</si>
  <si>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</si>
  <si>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Action Taken by State Govt. on findings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</si>
  <si>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</si>
  <si>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</si>
  <si>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</si>
  <si>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</si>
  <si>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</si>
  <si>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</si>
  <si>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</si>
  <si>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</si>
  <si>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</si>
  <si>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</si>
  <si>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Anticipated No. of working days for NCLP</t>
  </si>
  <si>
    <t>Quantity</t>
  </si>
  <si>
    <t>Cost (in Rs.)</t>
  </si>
  <si>
    <t>Frequency</t>
  </si>
  <si>
    <t>1. A - Honorarium to Cook cum helpers (per month):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</si>
  <si>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</si>
  <si>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</si>
  <si>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of Labour Department. </t>
  </si>
  <si>
    <t>Table: AT-5 D</t>
  </si>
  <si>
    <t>Reasons for Less payment Col. (7-9)</t>
  </si>
  <si>
    <t>Table: AT-6C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</si>
  <si>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</si>
  <si>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</si>
  <si>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</si>
  <si>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*Coarse Grains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</si>
  <si>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</si>
  <si>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</si>
  <si>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</si>
  <si>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</si>
  <si>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</si>
  <si>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</si>
  <si>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</si>
  <si>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</si>
  <si>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</si>
  <si>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</si>
  <si>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</si>
  <si>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* Total number of cook-cum-helpers can not exceed the norms for engagement of cook-cum-helpers.</t>
  </si>
  <si>
    <t>Multi tap</t>
  </si>
  <si>
    <t>Type of hand washing facilities (number of schools)</t>
  </si>
  <si>
    <t>Plinth Area 1 (20sq Mtr)</t>
  </si>
  <si>
    <t>Plinth Area 3 (28 sq Mtr)</t>
  </si>
  <si>
    <t>Plinth Area 4 (32 sq Mtr)</t>
  </si>
  <si>
    <t>Gen. Col. 3-Col.15</t>
  </si>
  <si>
    <t>SC.  Col. 4-Col.16</t>
  </si>
  <si>
    <t>ST.  Col. 5-Col.17</t>
  </si>
  <si>
    <t>Total Col. 19+Col.20+Col.21</t>
  </si>
  <si>
    <t>(Rs. In  Lakh)</t>
  </si>
  <si>
    <t>Total sanctioned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</si>
  <si>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</si>
  <si>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</si>
  <si>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</si>
  <si>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</si>
  <si>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</si>
  <si>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</si>
  <si>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</si>
  <si>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</si>
  <si>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</si>
  <si>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State : TRIPURA</t>
  </si>
  <si>
    <t>West</t>
  </si>
  <si>
    <t>Sepahjala</t>
  </si>
  <si>
    <t>Khowai</t>
  </si>
  <si>
    <t>Gomati</t>
  </si>
  <si>
    <t>South</t>
  </si>
  <si>
    <t>Unakoti</t>
  </si>
  <si>
    <t>North</t>
  </si>
  <si>
    <t>Dhalai</t>
  </si>
  <si>
    <t>Total :-</t>
  </si>
  <si>
    <t xml:space="preserve">State : TRIPURA </t>
  </si>
  <si>
    <t xml:space="preserve">                   [Mid-Day Meal Scheme]</t>
  </si>
  <si>
    <t xml:space="preserve"> Government of Tripura</t>
  </si>
  <si>
    <t>Government of Tripura</t>
  </si>
  <si>
    <t>S.  No.</t>
  </si>
  <si>
    <t>S.    No.</t>
  </si>
  <si>
    <t>S.   No.</t>
  </si>
  <si>
    <t>S.           No.</t>
  </si>
  <si>
    <t>S.              No.</t>
  </si>
  <si>
    <t xml:space="preserve">                             Seal:</t>
  </si>
  <si>
    <t>S.      No.</t>
  </si>
  <si>
    <t>S.        No.</t>
  </si>
  <si>
    <t>Sl.    No.</t>
  </si>
  <si>
    <t>STATE : TRIPURA</t>
  </si>
  <si>
    <t>S.     No.</t>
  </si>
  <si>
    <t>State :TRIPURA</t>
  </si>
  <si>
    <t>Sl  No</t>
  </si>
  <si>
    <r>
      <t>Financial            (</t>
    </r>
    <r>
      <rPr>
        <b/>
        <i/>
        <sz val="10"/>
        <rFont val="Arial"/>
        <family val="2"/>
      </rPr>
      <t>Rs. in lakh)</t>
    </r>
  </si>
  <si>
    <t>S.            No.</t>
  </si>
  <si>
    <t>S.   no</t>
  </si>
  <si>
    <t>100 grms</t>
  </si>
  <si>
    <t>As per need</t>
  </si>
  <si>
    <t>150 grms</t>
  </si>
  <si>
    <t xml:space="preserve">(Govt+LB)  Schools </t>
  </si>
  <si>
    <t>N.B:</t>
  </si>
  <si>
    <t>NIL</t>
  </si>
  <si>
    <t>e-Transfer</t>
  </si>
  <si>
    <t>Nil</t>
  </si>
  <si>
    <t>Transportation Assistance has been calculated on the basis of Rs.1890.00 per MT Rice.</t>
  </si>
  <si>
    <t>Namr of District</t>
  </si>
  <si>
    <t xml:space="preserve">State : Tripura </t>
  </si>
  <si>
    <t>Academic Calendar      (No. of Days)</t>
  </si>
  <si>
    <t>N.B: Other : School Authority ( HM/ AHM &amp; MDM Assigned Teacher)</t>
  </si>
  <si>
    <t>Nutritionist</t>
  </si>
  <si>
    <t>Financial Assistant</t>
  </si>
  <si>
    <t>MIS Data Entry Operator</t>
  </si>
  <si>
    <t>Branch Officer (MDM)</t>
  </si>
  <si>
    <t>Sr. Consultant</t>
  </si>
  <si>
    <t>District Education Officer</t>
  </si>
  <si>
    <t>Inspector of Schools</t>
  </si>
  <si>
    <t>Dy. Inspector of Schools</t>
  </si>
  <si>
    <t>UDC</t>
  </si>
  <si>
    <t>LDC</t>
  </si>
  <si>
    <t>Group - D</t>
  </si>
  <si>
    <t>Head Clark</t>
  </si>
  <si>
    <t>Recurring Assistance Total</t>
  </si>
  <si>
    <t>Non-Recurring Assistance Total</t>
  </si>
  <si>
    <t>Yes</t>
  </si>
  <si>
    <t>Yes : tripuramdm@gmail.com</t>
  </si>
  <si>
    <t>No</t>
  </si>
  <si>
    <t>Mobile No.</t>
  </si>
  <si>
    <t>Total:</t>
  </si>
  <si>
    <t>Total Recurring Assistance</t>
  </si>
  <si>
    <t>Total Non-Recurring Assistance</t>
  </si>
  <si>
    <t>Table: AT-12A</t>
  </si>
  <si>
    <r>
      <t xml:space="preserve">Plinth Area 2 </t>
    </r>
    <r>
      <rPr>
        <b/>
        <sz val="12"/>
        <color indexed="8"/>
        <rFont val="Arial"/>
        <family val="2"/>
      </rPr>
      <t>(24 sq Mtr)</t>
    </r>
  </si>
  <si>
    <t xml:space="preserve">Status of Releasing of Funds by the State </t>
  </si>
  <si>
    <t>No . of schools  covered</t>
  </si>
  <si>
    <t xml:space="preserve">   Seal:</t>
  </si>
  <si>
    <t xml:space="preserve">     Seal:</t>
  </si>
  <si>
    <t xml:space="preserve">             Seal:</t>
  </si>
  <si>
    <t xml:space="preserve">               Seal:</t>
  </si>
  <si>
    <t xml:space="preserve">                     Seal:</t>
  </si>
  <si>
    <t xml:space="preserve">                   Seal:</t>
  </si>
  <si>
    <t xml:space="preserve">                                              [Mid-Day Meal Scheme]</t>
  </si>
  <si>
    <t xml:space="preserve">         Seal:</t>
  </si>
  <si>
    <t xml:space="preserve">                Seal:</t>
  </si>
  <si>
    <t xml:space="preserve">           Seal:</t>
  </si>
  <si>
    <t xml:space="preserve">                                    [Mid-Day Meal Scheme]</t>
  </si>
  <si>
    <t xml:space="preserve">                 Seal:</t>
  </si>
  <si>
    <t xml:space="preserve">                    [Mid-Day Meal Scheme]</t>
  </si>
  <si>
    <t>75 grms</t>
  </si>
  <si>
    <r>
      <t>Financial           (</t>
    </r>
    <r>
      <rPr>
        <b/>
        <i/>
        <sz val="10"/>
        <rFont val="Arial"/>
        <family val="2"/>
      </rPr>
      <t>Rs. in lakh)</t>
    </r>
  </si>
  <si>
    <t>Transportation cost should be meetup on the basis of new rate and this will be intimated later on to the Ministry.</t>
  </si>
  <si>
    <t>NB:</t>
  </si>
  <si>
    <t>Contents</t>
  </si>
  <si>
    <t>Table No.</t>
  </si>
  <si>
    <t>Particulars</t>
  </si>
  <si>
    <t>AT- 1</t>
  </si>
  <si>
    <t>AT - 2</t>
  </si>
  <si>
    <t>AT - 3</t>
  </si>
  <si>
    <t>AT- 3 A</t>
  </si>
  <si>
    <t>AT- 3 B</t>
  </si>
  <si>
    <t>AT-3 C</t>
  </si>
  <si>
    <t>AT - 4</t>
  </si>
  <si>
    <t>AT - 4 A</t>
  </si>
  <si>
    <t>AT - 5</t>
  </si>
  <si>
    <t>AT - 5 A</t>
  </si>
  <si>
    <t>AT - 5 B</t>
  </si>
  <si>
    <t>AT - 5 C</t>
  </si>
  <si>
    <t>AT - 5 D</t>
  </si>
  <si>
    <t>AT - 6</t>
  </si>
  <si>
    <t>AT - 6 A</t>
  </si>
  <si>
    <t>AT - 6 B</t>
  </si>
  <si>
    <t>AT - 6 C</t>
  </si>
  <si>
    <t>AT - 7</t>
  </si>
  <si>
    <t>AT - 7 A</t>
  </si>
  <si>
    <t>AT - 8</t>
  </si>
  <si>
    <t>AT - 8 A</t>
  </si>
  <si>
    <t>AT - 9</t>
  </si>
  <si>
    <t>AT - 10</t>
  </si>
  <si>
    <t>AT - 10 A</t>
  </si>
  <si>
    <t>AT - 11</t>
  </si>
  <si>
    <t xml:space="preserve">Sanction and Utilisation of Central assistance towards construction of Kitchen-cum-store (Primary &amp; Upper Primary,Classes I-VIII) </t>
  </si>
  <si>
    <t>AT - 11 A</t>
  </si>
  <si>
    <t>AT - 12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</si>
  <si>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</si>
  <si>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</si>
  <si>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</si>
  <si>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- 13</t>
  </si>
  <si>
    <t>AT - 14</t>
  </si>
  <si>
    <t>AT - 14 A</t>
  </si>
  <si>
    <t>AT - 15</t>
  </si>
  <si>
    <t>AT - 16</t>
  </si>
  <si>
    <t>AT - 17</t>
  </si>
  <si>
    <t>AT - 18</t>
  </si>
  <si>
    <t>Formation of School Management Committee (SMC) at School Level for Monitoring the Scheme</t>
  </si>
  <si>
    <t>AT - 19</t>
  </si>
  <si>
    <t>Responsibility of Implementation</t>
  </si>
  <si>
    <t>AT - 20</t>
  </si>
  <si>
    <t xml:space="preserve">Information on Cooking Agencies </t>
  </si>
  <si>
    <t>AT - 21</t>
  </si>
  <si>
    <t>AT - 22</t>
  </si>
  <si>
    <t>AT - 23</t>
  </si>
  <si>
    <t>AT - 24</t>
  </si>
  <si>
    <t>AT - 25</t>
  </si>
  <si>
    <t>Manpower dedicated for MDMS</t>
  </si>
  <si>
    <t>AT - 26</t>
  </si>
  <si>
    <t>Details of mode of cooking</t>
  </si>
  <si>
    <t>AT - 27</t>
  </si>
  <si>
    <t>AT - 28</t>
  </si>
  <si>
    <t>Details of discrimination of any kind in MDMS</t>
  </si>
  <si>
    <t>AT - 29</t>
  </si>
  <si>
    <t>Details of engagement and apportionment of honorarium to cook cum helpers (CCH) between schools and centralized kitchen.</t>
  </si>
  <si>
    <t>AT - 30</t>
  </si>
  <si>
    <t>Information on NGOs covering more than 20000 children, if any</t>
  </si>
  <si>
    <t>AT - 31</t>
  </si>
  <si>
    <t>Details of Grievance Redressal cell</t>
  </si>
  <si>
    <t>Details of IEC Activities</t>
  </si>
  <si>
    <t>Quality, Safety and Hygiene</t>
  </si>
  <si>
    <t>Testing of Food Samples</t>
  </si>
  <si>
    <t>Contribution by community in form of  Tithi Bhojan or any other similar practice</t>
  </si>
  <si>
    <t>Interuptions in serving of MDM and MDM allowance paid to children</t>
  </si>
  <si>
    <t xml:space="preserve">3.  Per Unit Cooking Cost </t>
  </si>
  <si>
    <t xml:space="preserve">2. Cost of meal per child per school day as per State Nutrition / Expenditure Norm including both, Central and State share. </t>
  </si>
  <si>
    <t>1. Cooks- cum- helpers engaged under Mid Day Meal Scheme</t>
  </si>
  <si>
    <t>2. a.  Additional Food Items (per child)</t>
  </si>
  <si>
    <t>Table: AT-10 A</t>
  </si>
  <si>
    <t xml:space="preserve">Number of </t>
  </si>
  <si>
    <t>Meetings of District level committee headed by the senior most Member of Parliament of Loksabha</t>
  </si>
  <si>
    <t>Meetings of District Steering cum Monitoring committee headed by District Megistrate</t>
  </si>
  <si>
    <t>Schools inspected by Govt. officials</t>
  </si>
  <si>
    <t>State: TRIPURA</t>
  </si>
  <si>
    <t>2014-15</t>
  </si>
  <si>
    <t>Note : State may indicate their plinth area and size of the kitchen-cum-stores if they have any other plinth area than mentioned in the table.</t>
  </si>
  <si>
    <t xml:space="preserve">Table: AT-20  : Information on Cooking Agencies </t>
  </si>
  <si>
    <t>Mode of cooking (No. of Schools)</t>
  </si>
  <si>
    <t xml:space="preserve">LPG </t>
  </si>
  <si>
    <t>Solar cooker</t>
  </si>
  <si>
    <t>Fire wood</t>
  </si>
  <si>
    <t xml:space="preserve">Name of the Accredited / Recognised lab engaged for testing </t>
  </si>
  <si>
    <t xml:space="preserve">Number of samples </t>
  </si>
  <si>
    <t>Result (No. of samples)</t>
  </si>
  <si>
    <t xml:space="preserve">Collected </t>
  </si>
  <si>
    <t>Tested</t>
  </si>
  <si>
    <t>Meeting norms</t>
  </si>
  <si>
    <t>Below norms</t>
  </si>
  <si>
    <t xml:space="preserve">Meals not served </t>
  </si>
  <si>
    <t>Whether allowance is paid to children</t>
  </si>
  <si>
    <t xml:space="preserve">Number of institutions </t>
  </si>
  <si>
    <t>No. of working days</t>
  </si>
  <si>
    <t xml:space="preserve">Number of children </t>
  </si>
  <si>
    <t xml:space="preserve">State: TRIPURA </t>
  </si>
  <si>
    <t>Table: AT-12 A : Sanction and Utilisation of Central assistance towards replacement of Kitchen Devices</t>
  </si>
  <si>
    <t xml:space="preserve">that is why the no. of KS in col. No. 5 for the year 2011-12 has been shown as 1991 (1730+261=1991) and </t>
  </si>
  <si>
    <t>accordingly total no. of completed KS shown in Col. No. 5 is 5565 instad of 5304.</t>
  </si>
  <si>
    <t>During the year 2011-12 GoI has sanctioned 1730 KS but the State has constructed 1991 KS utilising the same fund.</t>
  </si>
  <si>
    <t>All fund has been reallocated through e-transfer system.</t>
  </si>
  <si>
    <t xml:space="preserve">  Government of Tripura</t>
  </si>
  <si>
    <t>1800-345-3667</t>
  </si>
  <si>
    <t>Guideline Booklet</t>
  </si>
  <si>
    <t>Poster</t>
  </si>
  <si>
    <t>Hording</t>
  </si>
  <si>
    <t>Periodical publication in local news paper</t>
  </si>
  <si>
    <t>Documentary</t>
  </si>
  <si>
    <t>Publication in local magazine</t>
  </si>
  <si>
    <t>Expendituer Incurred           (in Lakhs)</t>
  </si>
  <si>
    <t>The type of IEC activities are give below:</t>
  </si>
  <si>
    <t>Annexure A</t>
  </si>
  <si>
    <t>Annexure B</t>
  </si>
  <si>
    <t>Annexure C</t>
  </si>
  <si>
    <t>Annexure D</t>
  </si>
  <si>
    <t>Emergency plan followed in the State</t>
  </si>
  <si>
    <t xml:space="preserve">(Govt+LB) Schools </t>
  </si>
  <si>
    <t>NA</t>
  </si>
  <si>
    <t xml:space="preserve">FCI raised bills of cost of foodgrains centrally for all the districts and accordingly payment has been made centrally. </t>
  </si>
  <si>
    <t xml:space="preserve">Proposed number of children  </t>
  </si>
  <si>
    <t>Proposed number of children</t>
  </si>
  <si>
    <t xml:space="preserve">The Secretary of FCS&amp;CA Deptt. pointed out in the S-SMC meeting held on 03.02.2016 that an open tender has been invited for fixing the rate of TC/DC. </t>
  </si>
  <si>
    <t>Tasting of food (number of schools)</t>
  </si>
  <si>
    <t>Parents</t>
  </si>
  <si>
    <t xml:space="preserve">Procured (C) </t>
  </si>
  <si>
    <t>Financial                                  ( Rs. in lakh)                                       [col. 4-col.6-col.8]</t>
  </si>
  <si>
    <t>Financial                            ( Rs. in lakh)                                       [col. 4-col.6-col.8]</t>
  </si>
  <si>
    <t>2015-16</t>
  </si>
  <si>
    <t>Others                      (Please specify)</t>
  </si>
  <si>
    <t>AT - 2 A</t>
  </si>
  <si>
    <t>AT - 10 B</t>
  </si>
  <si>
    <t xml:space="preserve">Details of Social Audit </t>
  </si>
  <si>
    <t>AT - 10 C</t>
  </si>
  <si>
    <t>AT - 10 D</t>
  </si>
  <si>
    <t>AT - 23 A</t>
  </si>
  <si>
    <t>AT - 26 A</t>
  </si>
  <si>
    <t>AT - 27 A</t>
  </si>
  <si>
    <t>AT - 27 B</t>
  </si>
  <si>
    <t>AT - 27 C</t>
  </si>
  <si>
    <t>AT - 27 D</t>
  </si>
  <si>
    <t>AT - 28 A</t>
  </si>
  <si>
    <t>Table: AT-2A</t>
  </si>
  <si>
    <t>Table - AT - 10 B</t>
  </si>
  <si>
    <t>Table AT -10 C : Details of IEC Activities</t>
  </si>
  <si>
    <t>Table: AT- 10 C</t>
  </si>
  <si>
    <t>Table-AT- 10D</t>
  </si>
  <si>
    <t>Table: AT 10 D - Manpower dedicated for MDMS</t>
  </si>
  <si>
    <t>Table AT-13</t>
  </si>
  <si>
    <t>Table AT- 13: Details of mode of cooking</t>
  </si>
  <si>
    <t>Table: AT- 14</t>
  </si>
  <si>
    <t>Table AT -14 : Quality, Safety and Hygiene</t>
  </si>
  <si>
    <t>No. of schools having parents roaster</t>
  </si>
  <si>
    <t>No. of schools having tasting register</t>
  </si>
  <si>
    <t>Table: AT- 14 A</t>
  </si>
  <si>
    <t>Table AT -14 A : Testing of Food Samples by accredited labs</t>
  </si>
  <si>
    <t>Table: AT- 15</t>
  </si>
  <si>
    <t>Table AT -15 : Contribution by community in form of  Tithi Bhojan or any other similar practice</t>
  </si>
  <si>
    <t>Table: AT- 16</t>
  </si>
  <si>
    <t>Table AT -16 : Interuptions in serving of MDM and MDM allowance paid to children</t>
  </si>
  <si>
    <t>No. of NGO</t>
  </si>
  <si>
    <t>No. of Trust</t>
  </si>
  <si>
    <t>Table - AT - 21</t>
  </si>
  <si>
    <t>Table AT 21 :Details of engagement and apportionment of honorarium to cook cum helpers (CCH) between schools and centralized kitchen.</t>
  </si>
  <si>
    <t>Table: AT- 22</t>
  </si>
  <si>
    <t>Table AT -22 :Information on NGOs covering more than 20000 children, if any</t>
  </si>
  <si>
    <t>Table-AT- 23</t>
  </si>
  <si>
    <t>Table-AT- 23 A</t>
  </si>
  <si>
    <t>Mid Day Meal Scheme</t>
  </si>
  <si>
    <t>No. of Inst. For which daily data transferred to central server</t>
  </si>
  <si>
    <t>Table - AT - 24</t>
  </si>
  <si>
    <t>Table AT - 24 : Details of discrimination of any kind in MDMS</t>
  </si>
  <si>
    <t>Table: AT- 25</t>
  </si>
  <si>
    <t>Table AT- 25: Details of Grievance Redressal cell</t>
  </si>
  <si>
    <t>Table: AT-26</t>
  </si>
  <si>
    <t>Table: AT-26 A</t>
  </si>
  <si>
    <t>Table: AT-27</t>
  </si>
  <si>
    <t>col. 10 x Rs.  3000.00 + VAT/Other taxes</t>
  </si>
  <si>
    <t>col. 11x Rs. 2000.00 + VAT/Other taxes</t>
  </si>
  <si>
    <t>Table: AT-27 A</t>
  </si>
  <si>
    <t>Table: AT-27 B</t>
  </si>
  <si>
    <t>Table: AT-27 C</t>
  </si>
  <si>
    <t>Table: AT-27 D</t>
  </si>
  <si>
    <t>Table: AT-28</t>
  </si>
  <si>
    <t xml:space="preserve">Table: AT-28 A </t>
  </si>
  <si>
    <t>Table: AT-29</t>
  </si>
  <si>
    <t>Table: AT-30</t>
  </si>
  <si>
    <t>11 = 5+6+9+10</t>
  </si>
  <si>
    <t>SI. No</t>
  </si>
  <si>
    <t>Table: AT-31</t>
  </si>
  <si>
    <t>Total Recurring and Non-Recurring Assistance</t>
  </si>
  <si>
    <t>(col.7 x col.8 x Rs. 3.72 for NER States and 3 hilly States), (col.7 x col. 8 x Rs. 4.13 for UTs) and (col. 7 x col. 8 x Rs. 2.48 for other States)</t>
  </si>
  <si>
    <r>
      <t>Financial                      (</t>
    </r>
    <r>
      <rPr>
        <b/>
        <i/>
        <sz val="10"/>
        <rFont val="Arial"/>
        <family val="2"/>
      </rPr>
      <t>Rs. in lakh)</t>
    </r>
  </si>
  <si>
    <r>
      <t>Financial               (</t>
    </r>
    <r>
      <rPr>
        <b/>
        <i/>
        <sz val="10"/>
        <rFont val="Arial"/>
        <family val="2"/>
      </rPr>
      <t>Rs. in lakh)</t>
    </r>
  </si>
  <si>
    <r>
      <t>Financial                  (</t>
    </r>
    <r>
      <rPr>
        <b/>
        <i/>
        <sz val="10"/>
        <rFont val="Arial"/>
        <family val="2"/>
      </rPr>
      <t>Rs. in lakh)</t>
    </r>
  </si>
  <si>
    <r>
      <t>Financial              (</t>
    </r>
    <r>
      <rPr>
        <b/>
        <i/>
        <sz val="10"/>
        <rFont val="Arial"/>
        <family val="2"/>
      </rPr>
      <t>Rs. in lakh)</t>
    </r>
  </si>
  <si>
    <t>Financial                 ( Rs. in lakh)                                       [col. 4-col.6-col.8]</t>
  </si>
  <si>
    <r>
      <t>Financial             (</t>
    </r>
    <r>
      <rPr>
        <b/>
        <i/>
        <sz val="10"/>
        <rFont val="Arial"/>
        <family val="2"/>
      </rPr>
      <t>Rs. in lakh)</t>
    </r>
  </si>
  <si>
    <t>Financial                    ( Rs. in lakh)                                       [col. 4-col.6-col.8]</t>
  </si>
  <si>
    <t>2016-17</t>
  </si>
  <si>
    <t>System Analyst</t>
  </si>
  <si>
    <t>Directorate of Social Audit, Govt. of Tripura</t>
  </si>
  <si>
    <t>AT - 4 B</t>
  </si>
  <si>
    <t>Information on Aadhaar Enrolment</t>
  </si>
  <si>
    <t>Information on Kitchen Garden</t>
  </si>
  <si>
    <t>AT - 32</t>
  </si>
  <si>
    <t>AT - 32 A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</si>
  <si>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</si>
  <si>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</si>
  <si>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</si>
  <si>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</si>
  <si>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</si>
  <si>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</si>
  <si>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</si>
  <si>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</si>
  <si>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</si>
  <si>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</si>
  <si>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</si>
  <si>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</si>
  <si>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</si>
  <si>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Table: AT- 32</t>
  </si>
  <si>
    <t>Foodgrains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</si>
  <si>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</si>
  <si>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</si>
  <si>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</si>
  <si>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</si>
  <si>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</si>
  <si>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Table: AT- 32A</t>
  </si>
  <si>
    <t>Requirement of Pulses (in MTs)</t>
  </si>
  <si>
    <t>Pulse 1 (name)</t>
  </si>
  <si>
    <t>Pulse 2 (name)</t>
  </si>
  <si>
    <t>Pulse 3 (name)</t>
  </si>
  <si>
    <t>Pulse 4 (name)</t>
  </si>
  <si>
    <t>Pulse 5 (name)</t>
  </si>
  <si>
    <t>Requirement of Foodgrains                      (in MTs)</t>
  </si>
  <si>
    <t>Requirement of Foodgrains                 (in MTs)</t>
  </si>
  <si>
    <t>Requirement of Foodgrains                (in MTs)</t>
  </si>
  <si>
    <t>Complaints against Centralized Kitchens/ NGO/ SHG</t>
  </si>
  <si>
    <t xml:space="preserve">Average No. of children availed for MDM </t>
  </si>
  <si>
    <t>Covered through centralised kitchen</t>
  </si>
  <si>
    <t>Foodgrains provided to children (in MT)</t>
  </si>
  <si>
    <t>Amount paid to children (in Rs)</t>
  </si>
  <si>
    <t>Maximum number of institutions for which daily data transferred during the month</t>
  </si>
  <si>
    <t>Honorarium amount                      (Rs. In lakhs)</t>
  </si>
  <si>
    <t>* Norms are only for guidance. Actual number will be determined on the basis of ground reality.</t>
  </si>
  <si>
    <t>NB: The Honorarium of Cook-cum-Helpers are calculated Rs.1500/- (CSS-Rs.900/- + State Share-Rs.600/-) per month for 10 months.</t>
  </si>
  <si>
    <t>Pulse 1 (Masoor dal)</t>
  </si>
  <si>
    <t xml:space="preserve">AT - 10 E </t>
  </si>
  <si>
    <t>AT - 10 F</t>
  </si>
  <si>
    <t>Table: AT- 10 F</t>
  </si>
  <si>
    <t>Non payment of Honorarium to cook-cum-helpers *</t>
  </si>
  <si>
    <t>Office Assistant</t>
  </si>
  <si>
    <t xml:space="preserve">Although the requirement of Kitchen shed has shown 190, but due to shortage of sufficient space in schools. It is not required. </t>
  </si>
  <si>
    <t xml:space="preserve">Foodgrains (Rice) </t>
  </si>
  <si>
    <t>Egg</t>
  </si>
  <si>
    <t>10 grms</t>
  </si>
  <si>
    <t>S. No</t>
  </si>
  <si>
    <t xml:space="preserve">   </t>
  </si>
  <si>
    <t>**state share includes fund as well as monetary value of the commodities supplied by the State/UT</t>
  </si>
  <si>
    <t xml:space="preserve">The Indenpedent I to VIII Institutuions is included with the Upper primary units. </t>
  </si>
  <si>
    <t>Information on Training of Cook-cum-Helpers</t>
  </si>
  <si>
    <t>Name of the Krishi Vigyan kendra  (KVK)</t>
  </si>
  <si>
    <t>Total no.  of Cook-cum-Helpers engaged</t>
  </si>
  <si>
    <t xml:space="preserve">Total no. of Cook-cum-Helpers trained during the year </t>
  </si>
  <si>
    <t>No. of Master Trainers</t>
  </si>
  <si>
    <t>Duration of training</t>
  </si>
  <si>
    <t xml:space="preserve">Modules used in the training </t>
  </si>
  <si>
    <t>Name of Training Agency</t>
  </si>
  <si>
    <t>Table AT-10 F: Information on Training of Cook-cum-Helpers</t>
  </si>
  <si>
    <t>AT - 28 B</t>
  </si>
  <si>
    <t>Repair of kitchen cum stores constructed ten years ago</t>
  </si>
  <si>
    <t>AT- 29 A</t>
  </si>
  <si>
    <t>Table: AT-28 B</t>
  </si>
  <si>
    <t>Table: AT-28 B: Repair of kitchen cum stores constructed ten years ago</t>
  </si>
  <si>
    <t>Requirement of funds (Rs in lakh)</t>
  </si>
  <si>
    <t>Centre share</t>
  </si>
  <si>
    <t>State share</t>
  </si>
  <si>
    <t>Table: AT-29A</t>
  </si>
  <si>
    <t xml:space="preserve">Enrolment range 01-50 </t>
  </si>
  <si>
    <t xml:space="preserve">Enrolment range 51-150 </t>
  </si>
  <si>
    <t xml:space="preserve">Enrolment range 151-250 </t>
  </si>
  <si>
    <t xml:space="preserve">Enrolment range 251 &amp; Above </t>
  </si>
  <si>
    <t>No. of schools</t>
  </si>
  <si>
    <t>Central share</t>
  </si>
  <si>
    <t>2019-20</t>
  </si>
  <si>
    <t>Contractual worker</t>
  </si>
  <si>
    <t>No. of institutions where setting up of kitchen garden is proposed during 2019-20</t>
  </si>
  <si>
    <t xml:space="preserve">No. of schools covered  </t>
  </si>
  <si>
    <t xml:space="preserve">No. of children covered </t>
  </si>
  <si>
    <t>No. of children identified with refractive errors</t>
  </si>
  <si>
    <t>No. of children provided with spectrales</t>
  </si>
  <si>
    <t>Mode of data collection (SMS/ IVRS/ Mobile App/ Web Application/ Others)</t>
  </si>
  <si>
    <t>Name of Agency implementing AMS in State/UT</t>
  </si>
  <si>
    <t>Requirement of funds for Transportation Assistance</t>
  </si>
  <si>
    <t>PDS rate (Rs per Quintal)</t>
  </si>
  <si>
    <t>Total Funds required (Rs in lakh)</t>
  </si>
  <si>
    <t>State : Tripura</t>
  </si>
  <si>
    <t>Seal :</t>
  </si>
  <si>
    <t>*This information will be used for computing Performance Grading Index (PGI) also.</t>
  </si>
  <si>
    <t>Average No. of children availed MDM [Col. 8/Col. 9] *</t>
  </si>
  <si>
    <t>2017-18</t>
  </si>
  <si>
    <t>Honorarium to CCH          (Rs in Lakh)</t>
  </si>
  <si>
    <t>SMS</t>
  </si>
  <si>
    <t>requirement of funds                        (Rs in lakh)</t>
  </si>
  <si>
    <t>requirement of funds                (Rs in lakh)</t>
  </si>
  <si>
    <t>Repair of kitchen-cum-stores</t>
  </si>
  <si>
    <t>Press Clipping</t>
  </si>
  <si>
    <t>West Tripura</t>
  </si>
  <si>
    <t>Sepahijala</t>
  </si>
  <si>
    <t>Under Process</t>
  </si>
  <si>
    <t xml:space="preserve">Nil </t>
  </si>
  <si>
    <t>Rate of Transportation Assistance                             (Per MT)  (in Rs.)</t>
  </si>
  <si>
    <t>1. Master trainer from Akshaya Patra Foundation 2014-15.</t>
  </si>
  <si>
    <t>2. Resource person (Nutrition Science) from Local Degree College.</t>
  </si>
  <si>
    <t>3. Resource person from Fire Service Department, Govt. of Tripura.</t>
  </si>
  <si>
    <t>4. Resource person from Health &amp; Family Welfare, Govt. of Tripura.</t>
  </si>
  <si>
    <t xml:space="preserve">MICROBIOLIGY DEPARTMENT, AGARTALA GOVT. MEDICAL COLLEGE. </t>
  </si>
  <si>
    <t>No pathogenic organism grown in culture</t>
  </si>
  <si>
    <t>NIC, HP</t>
  </si>
  <si>
    <t>Performance during                 2019-20</t>
  </si>
  <si>
    <t>Annual Work Plan and Budget 2020-21</t>
  </si>
  <si>
    <t>Action Taken report on PAB: 2019-20 recommendations</t>
  </si>
  <si>
    <t>Table: AT-1: GENERAL INFORMATION for 2019-20</t>
  </si>
  <si>
    <t>Table: AT-2 :  Details of  Provisions  in the State Budget 2019-20</t>
  </si>
  <si>
    <t>Table: AT-2A : Releasing of Funds from State to Directorate / Authority / District / Block / School level for 2019-20</t>
  </si>
  <si>
    <t>Table AT-3: No. of Institutions in the State vis a vis Institutions serving MDM during 2019-20</t>
  </si>
  <si>
    <t>Table: AT-3A: No. of Institutions covered  (Primary, Classes I-V)  during 2019-20</t>
  </si>
  <si>
    <t>Table: AT-3B: No. of Institutions covered (Upper Primary with Primary, Classes I-VIII) during 2019-20</t>
  </si>
  <si>
    <t>Table: AT-3C: No. of Institutions covered (Upper Primary without Primary, Classes VI-VIII) during 2019-20</t>
  </si>
  <si>
    <t>Table: AT-4: Enrolment vis-à-vis availed for MDM  (Primary,Classes I- V) during 2019-20</t>
  </si>
  <si>
    <t>Table: AT-4A: Enrolment vis-a-vis availed for MDM  (Upper Primary, Classes VI - VIII) during 2019-20</t>
  </si>
  <si>
    <t>Table: AT-5:  PAB-MDM Approval vs. PERFORMANCE (Primary, Classes I - V) during 2019-20</t>
  </si>
  <si>
    <t>MDM-PAB Approval for 2019-20</t>
  </si>
  <si>
    <t>Table: AT-5 A:  PAB-MDM Approval vs. PERFORMANCE (Upper Primary, Classes VI to VIII) during 2019-20</t>
  </si>
  <si>
    <t>Table: AT-5 B:  PAB-MDM Approval vs. PERFORMANCE-STC(NCLP Schools) during 2019-20</t>
  </si>
  <si>
    <t>Table: AT-5 C:  PAB-MDM Approval vs. PERFORMANCE (Primary, Classes I - V) during 2019-20 - Drought</t>
  </si>
  <si>
    <t>Table: AT-5 D:  PAB-MDM Approval vs. PERFORMANCE (Upper Primary, Classes VI to VIII) during 2019-20 - Drought</t>
  </si>
  <si>
    <t>Table: AT-6: Utilisation of foodgrains  (Primary, Classes I-V) during 2019-20</t>
  </si>
  <si>
    <t>Gross Allocation for the  FY 2019-20</t>
  </si>
  <si>
    <t>Table: AT-6A: Utilisation of foodgrains  (Upper Primary, Classes VI-VIII) during 2019-20</t>
  </si>
  <si>
    <t>Table: AT-6B: PAYMENT OF COST OF FOOD GRAINS TO FCI (Primary and Upper Primary Classes I-VIII) during 2019-20</t>
  </si>
  <si>
    <t>Allocation for cost of foodgrains for 2019-20</t>
  </si>
  <si>
    <t>Table: AT-6C: Utilisation of foodgrains-Coarse Grain during 2019-20</t>
  </si>
  <si>
    <t>Table: AT-7: Utilisation of Cooking Cost (Primary, Classes I-V) during 2019-20</t>
  </si>
  <si>
    <t xml:space="preserve">Allocation for 2019-20                                     </t>
  </si>
  <si>
    <t>Table: AT-7A: Utilisation of Cooking cost (Upper Primary Classes, VI-VIII) for 2019-20</t>
  </si>
  <si>
    <t xml:space="preserve">Allocation for 2019-20   </t>
  </si>
  <si>
    <t>Table AT - 8 :UTILIZATION OF CENTRAL ASSISTANCE TOWARDS HONORARIUM TO COOK-CUM-HELPERS (Primary classes I-V) during 2019-20</t>
  </si>
  <si>
    <t>Allocation for FY 2019-20</t>
  </si>
  <si>
    <t>Table AT - 8A : UTILIZATION OF CENTRAL ASSISTANCE TOWARDS HONORARIUM TO COOK-CUM-HELPERS (Upper Primary classes VI-VIII) during 2019-20</t>
  </si>
  <si>
    <t>Table: AT-9 : Utilisation of Central Assitance towards Transportation Assistance (Primary &amp; Upper Primary,Classes I-VIII) during 2019-20</t>
  </si>
  <si>
    <t>Table: AT-10 :  Utilisation of Central Assistance towards MME  (Primary &amp; Upper Primary,Classes I-VIII) during 2019-20</t>
  </si>
  <si>
    <t>Allocation for  2019-20</t>
  </si>
  <si>
    <t>Table: AT-10 A : Details of Meetings at district level during 2019-20</t>
  </si>
  <si>
    <t xml:space="preserve">Table AT - 10 B : Details of Social Audit during 2019-20 </t>
  </si>
  <si>
    <t>*Total sanctioned during 2006-07  to 2019-20</t>
  </si>
  <si>
    <t>*Total sanction during 2006-07 to 2019-20</t>
  </si>
  <si>
    <t>*Total Sanction during 2012-13 to 2019-20</t>
  </si>
  <si>
    <t>Table: AT-17 : Coverage under Rashtriya Bal Swasthya Karykram (School Health Programme) - 2019-20</t>
  </si>
  <si>
    <t>Table: AT- 23: Annual and  Monthly Data Entry Status in MDM-MIS : 2019-20</t>
  </si>
  <si>
    <t>Table AT - 23 A- Implementation of Automated Monitoring System  during 2019-20</t>
  </si>
  <si>
    <t xml:space="preserve">Kitchen-cum-store sanctioned during 2006-07 to 2019-20 </t>
  </si>
  <si>
    <t>Engaged in 2019-20</t>
  </si>
  <si>
    <t>2020-21</t>
  </si>
  <si>
    <t>5 grms</t>
  </si>
  <si>
    <t>Budget Released till 31.12.2019</t>
  </si>
  <si>
    <t>Total Unspent Balance as on 31.12.2019</t>
  </si>
  <si>
    <t xml:space="preserve">Total Unspent Balance as on     31.12.2019                                              </t>
  </si>
  <si>
    <t>Unspent Balance as on 31.12.2019</t>
  </si>
  <si>
    <t xml:space="preserve">Unspent Balance as on 31.12.2019                              [Col. 4+ Col.5+Col.6 -Col.8]   </t>
  </si>
  <si>
    <t>Unspent balance as on 31.12.2019               [Col: (4+5)-7]</t>
  </si>
  <si>
    <t>(For the Period 01.04.19 to 31.12.19)</t>
  </si>
  <si>
    <t>During 01.04.19 to 31.12.19</t>
  </si>
  <si>
    <t>During 01.04.19 to 31.12.2019</t>
  </si>
  <si>
    <t xml:space="preserve">During 01.04.19 to 31.12.2019 </t>
  </si>
  <si>
    <t>Enrolment (As on 30.09.2019)</t>
  </si>
  <si>
    <t>Total Enrolment (As on 30.09.2019)</t>
  </si>
  <si>
    <t>Opening Balance as on 01.04.19</t>
  </si>
  <si>
    <t xml:space="preserve">Opening Balance as on 01.04.2019                                                    </t>
  </si>
  <si>
    <t>Opening Balance as on 01.04.2019</t>
  </si>
  <si>
    <t>(As on 31st December, 2019)</t>
  </si>
  <si>
    <t>As on 31st December, 2019</t>
  </si>
  <si>
    <t>Apr, 2019</t>
  </si>
  <si>
    <t>Dec, 2019</t>
  </si>
  <si>
    <t>Proposals for                   2020-21</t>
  </si>
  <si>
    <t>Table: AT-26 : Number of School Working Days (Primary,Classes I-V) for 2020-21</t>
  </si>
  <si>
    <t>Table: AT-26A : Number of School Working Days (Upper Primary,Classes VI-VIII) for 2020-21</t>
  </si>
  <si>
    <t>Table: AT-27B: Proposal for coverage of children  for NCLP Schools during 2020-21</t>
  </si>
  <si>
    <t>Table: AT-27C: Proposal for coverage of children and working days  for Primary (Classes I - V) in Drought affected areas during 2020-21</t>
  </si>
  <si>
    <t>Table: AT-27 D: Proposal for coverage of children and working days  for Upper Primary (Classes VI - VIII) in Drought affected areas during 2020-21</t>
  </si>
  <si>
    <t>Table: AT-28: Requirement of kitchen-cum-stores in the Primary and Upper Primary schools for the year 2020-21</t>
  </si>
  <si>
    <t>Table: AT-28 A: Requirement of kitchen cum stores as per Plinth Area Norm in the Primary and Upper Primary schools for the year 2020-21</t>
  </si>
  <si>
    <t>Table: AT-29 : Requirement of Kitchen Devices (New) during 2020-21 in Primary &amp; Upper Primary Schools</t>
  </si>
  <si>
    <t>Table: AT-29 A : Replacement of Kitchen Devices during 2020-21 in Primary &amp; Upper Primary Schools</t>
  </si>
  <si>
    <t>Table: AT 30:  Requirement of Cook cum Helpers for 2020-21</t>
  </si>
  <si>
    <t>Table: AT-31 : Budget Provision for the Year 2020-21</t>
  </si>
  <si>
    <t>Table: AT-27 A: Proposal for coverage of children and working days  for 2020-21 (Upper Primary,Classes VI-VIII)</t>
  </si>
  <si>
    <t>Table: AT-27: Proposal for coverage of children and working days  for 2020-21 (Primary Classes, I-V)</t>
  </si>
  <si>
    <t>GENERAL INFORMATION for 2019-2020</t>
  </si>
  <si>
    <t>Details of  Provisions  in the State Budget 2019-2020</t>
  </si>
  <si>
    <t>Releasing of Funds from State to Directorate / Authority / District / Block / School level during 2019-2020</t>
  </si>
  <si>
    <t>AT - 2 B</t>
  </si>
  <si>
    <t xml:space="preserve">Month wise Transfer of Funds vs Expenditure under DBT during 2019-20 </t>
  </si>
  <si>
    <t>No. of Institutions in the State vis a vis Institutions serving MDM during 2019-2020</t>
  </si>
  <si>
    <t>No. of Institutions covered  (Primary, Classes I-V)  during 2019-2020</t>
  </si>
  <si>
    <t>No. of Institutions covered (Upper Primary with Primary, Classes I-VIII) during 2019-2020</t>
  </si>
  <si>
    <t>No. of Institutions covered (Upper Primary without Primary, Classes VI-VIII) during 2019-2020</t>
  </si>
  <si>
    <t>Enrolment vis-à-vis availed for MDM  (Primary,Classes I- V) during 2019-2020</t>
  </si>
  <si>
    <t>Enrolment vis-a-vis availed for MDM  (Upper Primary, Classes VI - VIII) during 2019-2020</t>
  </si>
  <si>
    <t>PAB-MDM Approval vs. PERFORMANCE (Primary, Classes I - V) during 2019-2020</t>
  </si>
  <si>
    <t>PAB-MDM Approval vs. PERFORMANCE (Upper Primary, Classes VI to VIII) during 2019-2020</t>
  </si>
  <si>
    <t>PAB-MDM Approval vs. PERFORMANCE NCLP Schools during 2019-2020</t>
  </si>
  <si>
    <t>PAB-MDM Approval vs. PERFORMANCE (Primary, Classes I - V) during 2019-2020 - Drought</t>
  </si>
  <si>
    <t>PAB-MDM Approval vs. PERFORMANCE (Upper Primary, Classes VI to VIII) during 2019-2020 - Drought</t>
  </si>
  <si>
    <t>Utilisation of foodgrains  (Primary, Classes I-V) during 2019-2020</t>
  </si>
  <si>
    <t>Utilisation of foodgrains  (Upper Primary, Classes VI-VIII) during 2019-2020</t>
  </si>
  <si>
    <t>PAYMENT OF COST OF FOOD GRAINS TO FCI (Primary and Upper Primary Classes I-VIII) during 2019-2020</t>
  </si>
  <si>
    <t>Utilisation of foodgrains (Coarse Grain) during 2019-2020</t>
  </si>
  <si>
    <t>Utilisation of Cooking Cost (Primary, Classes I-V) during 2019-2020</t>
  </si>
  <si>
    <t>Utilisation of Cooking cost (Upper Primary Classes, VI-VIII) during 2019-2020</t>
  </si>
  <si>
    <t>Utilisation of funds towards honorarium to Cook-cum-Helpers (Primary classes I-V) during 2019-2020</t>
  </si>
  <si>
    <t>Utilisation of funds towards honorarium to Cook-cum-Helpers (Upper Primary classes VI-VIII) during 2019-2020</t>
  </si>
  <si>
    <t>Utilisation of Central Assitance towards Transportation Assistance (Primary &amp; Upper Primary,Classes I-VIII) during 2019-2020</t>
  </si>
  <si>
    <t>Utilisation of Central Assistance towards MME  (Primary &amp; Upper Primary,Classes I-VIII) during 2019-2020</t>
  </si>
  <si>
    <t>Details of Meetings at district level during 2019-2020</t>
  </si>
  <si>
    <t>Coverage under Rashtriya Bal Swasthya Karykram (School Health Programme) - 2019-2020</t>
  </si>
  <si>
    <t>Annual and Monthly data entry status in MDM-MIS during 2019-2020</t>
  </si>
  <si>
    <t>Implementation of Automated Monitoring System  during 2019-2020</t>
  </si>
  <si>
    <t>Number of School Working Days (Primary,Classes I-V) for 2020-21</t>
  </si>
  <si>
    <t>Number of School Working Days (Upper Primary,Classes VI-VIII) for 2020-21</t>
  </si>
  <si>
    <t>Proposal for coverage of children and working days  for 2020-21  (Primary Classes, I-V)</t>
  </si>
  <si>
    <t>Proposal for coverage of children and working days  for 2020-21  (Upper Primary,Classes VI-VIII)</t>
  </si>
  <si>
    <t>Proposal for coverage of children for NCLP Schools during 2020-21</t>
  </si>
  <si>
    <t>Proposal for coverage of children and working days  for Primary (Classes I-V) in Drought affected areas  during 2020-21</t>
  </si>
  <si>
    <t>Proposal for coverage of children and working days  for  Upper Primary (Classes VI-VIII)in Drought affected areas  during 2020-21</t>
  </si>
  <si>
    <t>Requirement of kitchen-cum-stores in the Primary and Upper Primary schools for the year 2020-21</t>
  </si>
  <si>
    <t>Requirement of kitchen cum stores as per Plinth Area Norm in the Primary and Upper Primary schools for the year 2020-21</t>
  </si>
  <si>
    <t>Requirement of Kitchen Devices (new) during 2020-21 in Primary &amp; Upper Primary Schools</t>
  </si>
  <si>
    <t>Replacement of Kitchen Devices during 2020-21 in Primary &amp; Upper Primary Schools</t>
  </si>
  <si>
    <t>Requirement of Cook cum Helpers for 2020-21</t>
  </si>
  <si>
    <t>Budget Provision for the Year 2020-21</t>
  </si>
  <si>
    <t>PAB-MDM Approval vs. PERFORMANCE (Primary Classes I to V) during 2019-2020 - Drought</t>
  </si>
  <si>
    <t>An Exhaustive MME Plan: 2020-21</t>
  </si>
  <si>
    <t>Repair of Kitchen-cum-stores</t>
  </si>
  <si>
    <t xml:space="preserve">Table: AT- 2B </t>
  </si>
  <si>
    <t xml:space="preserve">Table AT-2 B: Month wise Transfer of Funds vs Expenditure under DBT during 2019-20 </t>
  </si>
  <si>
    <t xml:space="preserve">TOTAL CENTRAL SHARE - </t>
  </si>
  <si>
    <t>(Amount in Rs.)</t>
  </si>
  <si>
    <t>DBT COMPONENT CENTRAL SHARE</t>
  </si>
  <si>
    <t>During 01.04.2019 to 31.12.2019</t>
  </si>
  <si>
    <t>In-Cash Benefit Type Component                                                                                                                                                                (CCH Honorarieum only)</t>
  </si>
  <si>
    <t>In-Kind Benefit Type Component                                                                                                       (A Sum of Cost of Food Grains + Cooking Cost + Transport Assistance + MME)</t>
  </si>
  <si>
    <r>
      <t xml:space="preserve">Total 
Expenditure during the Month </t>
    </r>
    <r>
      <rPr>
        <b/>
        <sz val="10"/>
        <rFont val="Arial"/>
        <family val="2"/>
      </rPr>
      <t>(in ₹)  **</t>
    </r>
  </si>
  <si>
    <t>Remarks, if any</t>
  </si>
  <si>
    <r>
      <t xml:space="preserve">Fund 
Transfer during the Month             </t>
    </r>
    <r>
      <rPr>
        <b/>
        <sz val="10"/>
        <rFont val="Arial"/>
        <family val="2"/>
      </rPr>
      <t>(in ₹)</t>
    </r>
  </si>
  <si>
    <t>Electronic Fund 
Transfer (in ₹)
(NEFT, RTGS, APB, NACH)</t>
  </si>
  <si>
    <t>Non-Electronic 
Fund Transfer (in ₹)
(Cash, Cheque, DD, MO)</t>
  </si>
  <si>
    <r>
      <t xml:space="preserve">Total 
Expenditure during the Month </t>
    </r>
    <r>
      <rPr>
        <b/>
        <sz val="10"/>
        <rFont val="Arial"/>
        <family val="2"/>
      </rPr>
      <t>(in ₹)</t>
    </r>
  </si>
  <si>
    <t>April, 2019</t>
  </si>
  <si>
    <t>May, 2019</t>
  </si>
  <si>
    <t>June, 2019</t>
  </si>
  <si>
    <t>July, 2019</t>
  </si>
  <si>
    <t>August, 2019</t>
  </si>
  <si>
    <t>September, 2019</t>
  </si>
  <si>
    <t>October, 2019</t>
  </si>
  <si>
    <t>November, 2019</t>
  </si>
  <si>
    <t>December, 2019</t>
  </si>
  <si>
    <t>Notes:</t>
  </si>
  <si>
    <t>1.  DBT COMPONENT FUNDS  = TOTAL CENTRAL SHARE - FUNDS FOR INFRASTRUCTRE (i.e. KITCHEN SHED - KITCHEN DEVICES - KITCHEN GARDEN  ETC.)</t>
  </si>
  <si>
    <t>2. TOTAL EXPENDITURE &lt;= DBT COPONENT FUNDS</t>
  </si>
  <si>
    <t>3.. Value to be reported in absolute unit (not in Lakh, Crore, etc)</t>
  </si>
  <si>
    <t>2018-19</t>
  </si>
  <si>
    <t>No. of Kitchens constructed prior to FY 2009-10</t>
  </si>
  <si>
    <t>No. of Kitchens constructed prior to 2009-10 and require repairs</t>
  </si>
  <si>
    <t>Table: AT-32:  PAB-MDM Approval vs. PERFORMANCE (Primary Classes I to V) during 2019-20 - Drought</t>
  </si>
  <si>
    <t>Table: AT-32 A:  PAB-MDM Approval vs. PERFORMANCE (Upper Primary, Classes VI to VIII) during 2019-20 - Drought</t>
  </si>
  <si>
    <t xml:space="preserve">No. of working days (During 01.04.19 to 31.12.2019)                  </t>
  </si>
  <si>
    <t xml:space="preserve">The amount of Rs.6347.85 lakhs (Central Share) including the unspent balance of Rs.473.68 lakhs. </t>
  </si>
  <si>
    <t xml:space="preserve">The amount of Rs.1213.78 lakhs (State Share) including the unspent balance of Rs.63.24 lakhs. </t>
  </si>
  <si>
    <t>Kitchen Garden</t>
  </si>
  <si>
    <t>01/05/2019</t>
  </si>
  <si>
    <t>09/09/2019</t>
  </si>
  <si>
    <t>18/12/2019</t>
  </si>
  <si>
    <t>11/06/2019</t>
  </si>
  <si>
    <t>16/10/2019</t>
  </si>
  <si>
    <t>13/01/2020</t>
  </si>
  <si>
    <t>27/06/2019</t>
  </si>
  <si>
    <t>30/10/2019</t>
  </si>
  <si>
    <t>03/02/2020</t>
  </si>
  <si>
    <t>29/06/2019</t>
  </si>
  <si>
    <t>31/10/2019</t>
  </si>
  <si>
    <t>06/02/2020</t>
  </si>
  <si>
    <t>Baseless / Dropped</t>
  </si>
  <si>
    <t>Principal Officer (Edn), TTAADC</t>
  </si>
  <si>
    <t>Show cause notice issued on 10.02.2020</t>
  </si>
  <si>
    <t>Public Grievance</t>
  </si>
  <si>
    <t>Principal Officer, TTAADC</t>
  </si>
  <si>
    <t>Requested the P.O., TTAADC to take necessary action on this matter</t>
  </si>
  <si>
    <t>Show cause notice issued on 14.02.2020</t>
  </si>
  <si>
    <t>PDS rate          (Rs per Quintal)</t>
  </si>
  <si>
    <t>Total Funds required           (Rs in lakh)</t>
  </si>
  <si>
    <t>PDS rate            (Rs per Quintal)</t>
  </si>
  <si>
    <t>Total Funds required              (Rs in lakh)</t>
  </si>
  <si>
    <t>Additional fund for providing 2 eggs per week (68 days per children @ Rs.6/-)</t>
  </si>
  <si>
    <t xml:space="preserve">Secretary of the Education Department </t>
  </si>
</sst>
</file>

<file path=xl/styles.xml><?xml version="1.0" encoding="utf-8"?>
<styleSheet xmlns="http://schemas.openxmlformats.org/spreadsheetml/2006/main">
  <numFmts count="23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0.00000000"/>
    <numFmt numFmtId="177" formatCode="0.0000000"/>
    <numFmt numFmtId="178" formatCode="0.000000"/>
  </numFmts>
  <fonts count="1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u val="single"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color indexed="8"/>
      <name val="Calibri"/>
      <family val="2"/>
    </font>
    <font>
      <i/>
      <u val="single"/>
      <sz val="11"/>
      <name val="Arial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7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Trebuchet MS"/>
      <family val="2"/>
    </font>
    <font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rebuchet MS"/>
      <family val="2"/>
    </font>
    <font>
      <u val="single"/>
      <sz val="10"/>
      <name val="Arial"/>
      <family val="2"/>
    </font>
    <font>
      <sz val="48"/>
      <name val="Algerian"/>
      <family val="5"/>
    </font>
    <font>
      <b/>
      <sz val="14"/>
      <color indexed="8"/>
      <name val="Arial"/>
      <family val="2"/>
    </font>
    <font>
      <b/>
      <sz val="9"/>
      <name val="Trebuchet MS"/>
      <family val="2"/>
    </font>
    <font>
      <i/>
      <sz val="10"/>
      <name val="Trebuchet MS"/>
      <family val="2"/>
    </font>
    <font>
      <b/>
      <sz val="10"/>
      <name val="Calibri"/>
      <family val="2"/>
    </font>
    <font>
      <b/>
      <sz val="54"/>
      <name val="Calibri"/>
      <family val="0"/>
    </font>
    <font>
      <b/>
      <sz val="44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mbria"/>
      <family val="1"/>
    </font>
    <font>
      <sz val="10"/>
      <color indexed="8"/>
      <name val="Cambria"/>
      <family val="1"/>
    </font>
    <font>
      <b/>
      <i/>
      <sz val="10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mbria"/>
      <family val="1"/>
    </font>
    <font>
      <b/>
      <sz val="12"/>
      <color indexed="8"/>
      <name val="Calibri"/>
      <family val="2"/>
    </font>
    <font>
      <sz val="10"/>
      <name val="Calibri"/>
      <family val="2"/>
    </font>
    <font>
      <b/>
      <i/>
      <sz val="12"/>
      <color indexed="8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Cambria"/>
      <family val="1"/>
    </font>
    <font>
      <sz val="10"/>
      <color indexed="8"/>
      <name val="Arial"/>
      <family val="2"/>
    </font>
    <font>
      <b/>
      <sz val="10"/>
      <color indexed="8"/>
      <name val="Arial Black"/>
      <family val="2"/>
    </font>
    <font>
      <b/>
      <sz val="10"/>
      <color indexed="10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Cambria"/>
      <family val="1"/>
    </font>
    <font>
      <b/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mbria"/>
      <family val="1"/>
    </font>
    <font>
      <sz val="10"/>
      <color theme="1"/>
      <name val="Cambria"/>
      <family val="1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Calibri"/>
      <family val="2"/>
    </font>
    <font>
      <b/>
      <sz val="10"/>
      <color rgb="FFFF0000"/>
      <name val="Arial"/>
      <family val="2"/>
    </font>
    <font>
      <b/>
      <sz val="11"/>
      <color theme="1"/>
      <name val="Cambria"/>
      <family val="1"/>
    </font>
    <font>
      <b/>
      <sz val="12"/>
      <color theme="1"/>
      <name val="Calibri"/>
      <family val="2"/>
    </font>
    <font>
      <b/>
      <sz val="8"/>
      <color rgb="FFFF0000"/>
      <name val="Arial"/>
      <family val="2"/>
    </font>
    <font>
      <b/>
      <i/>
      <sz val="12"/>
      <color theme="1"/>
      <name val="Calibri"/>
      <family val="2"/>
    </font>
    <font>
      <b/>
      <sz val="8"/>
      <color theme="1"/>
      <name val="Arial"/>
      <family val="2"/>
    </font>
    <font>
      <b/>
      <sz val="12"/>
      <color theme="1"/>
      <name val="Cambria"/>
      <family val="1"/>
    </font>
    <font>
      <sz val="10"/>
      <color theme="1"/>
      <name val="Arial"/>
      <family val="2"/>
    </font>
    <font>
      <b/>
      <sz val="10"/>
      <color theme="1"/>
      <name val="Arial Black"/>
      <family val="2"/>
    </font>
    <font>
      <b/>
      <sz val="10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8"/>
      <color theme="1"/>
      <name val="Cambria"/>
      <family val="1"/>
    </font>
    <font>
      <b/>
      <sz val="10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26" borderId="0" applyNumberFormat="0" applyBorder="0" applyAlignment="0" applyProtection="0"/>
    <xf numFmtId="0" fontId="96" fillId="27" borderId="1" applyNumberFormat="0" applyAlignment="0" applyProtection="0"/>
    <xf numFmtId="0" fontId="9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29" borderId="0" applyNumberFormat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30" borderId="1" applyNumberFormat="0" applyAlignment="0" applyProtection="0"/>
    <xf numFmtId="0" fontId="106" fillId="0" borderId="6" applyNumberFormat="0" applyFill="0" applyAlignment="0" applyProtection="0"/>
    <xf numFmtId="0" fontId="107" fillId="31" borderId="0" applyNumberFormat="0" applyBorder="0" applyAlignment="0" applyProtection="0"/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08" fillId="27" borderId="8" applyNumberFormat="0" applyAlignment="0" applyProtection="0"/>
    <xf numFmtId="9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</cellStyleXfs>
  <cellXfs count="110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6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2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6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16" fillId="0" borderId="0" xfId="0" applyFont="1" applyAlignment="1">
      <alignment/>
    </xf>
    <xf numFmtId="0" fontId="0" fillId="0" borderId="14" xfId="0" applyBorder="1" applyAlignment="1">
      <alignment/>
    </xf>
    <xf numFmtId="0" fontId="16" fillId="0" borderId="11" xfId="0" applyFont="1" applyBorder="1" applyAlignment="1" quotePrefix="1">
      <alignment horizontal="center" vertical="top" wrapText="1"/>
    </xf>
    <xf numFmtId="0" fontId="14" fillId="0" borderId="11" xfId="0" applyFont="1" applyBorder="1" applyAlignment="1">
      <alignment horizontal="center" wrapText="1"/>
    </xf>
    <xf numFmtId="0" fontId="0" fillId="0" borderId="0" xfId="0" applyFont="1" applyBorder="1" applyAlignment="1" quotePrefix="1">
      <alignment horizontal="center"/>
    </xf>
    <xf numFmtId="0" fontId="18" fillId="0" borderId="0" xfId="57" applyFont="1">
      <alignment/>
      <protection/>
    </xf>
    <xf numFmtId="0" fontId="19" fillId="0" borderId="11" xfId="57" applyFont="1" applyBorder="1" applyAlignment="1">
      <alignment horizontal="center" vertical="top" wrapText="1"/>
      <protection/>
    </xf>
    <xf numFmtId="0" fontId="93" fillId="0" borderId="0" xfId="57">
      <alignment/>
      <protection/>
    </xf>
    <xf numFmtId="0" fontId="93" fillId="0" borderId="0" xfId="57" applyAlignment="1">
      <alignment horizontal="left"/>
      <protection/>
    </xf>
    <xf numFmtId="0" fontId="20" fillId="0" borderId="0" xfId="57" applyFont="1" applyAlignment="1">
      <alignment horizontal="left"/>
      <protection/>
    </xf>
    <xf numFmtId="0" fontId="93" fillId="0" borderId="19" xfId="57" applyBorder="1" applyAlignment="1">
      <alignment horizontal="center"/>
      <protection/>
    </xf>
    <xf numFmtId="0" fontId="17" fillId="0" borderId="0" xfId="57" applyFont="1" applyAlignment="1">
      <alignment horizontal="center"/>
      <protection/>
    </xf>
    <xf numFmtId="0" fontId="93" fillId="0" borderId="11" xfId="57" applyBorder="1">
      <alignment/>
      <protection/>
    </xf>
    <xf numFmtId="0" fontId="93" fillId="0" borderId="0" xfId="57" applyBorder="1">
      <alignment/>
      <protection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1" fillId="0" borderId="12" xfId="57" applyFont="1" applyBorder="1" applyAlignment="1">
      <alignment horizontal="center" vertical="top" wrapText="1"/>
      <protection/>
    </xf>
    <xf numFmtId="0" fontId="21" fillId="0" borderId="11" xfId="57" applyFont="1" applyBorder="1" applyAlignment="1">
      <alignment horizontal="center" vertical="top" wrapText="1"/>
      <protection/>
    </xf>
    <xf numFmtId="0" fontId="0" fillId="0" borderId="0" xfId="61">
      <alignment/>
      <protection/>
    </xf>
    <xf numFmtId="0" fontId="11" fillId="0" borderId="0" xfId="61" applyFont="1" applyAlignment="1">
      <alignment horizontal="center"/>
      <protection/>
    </xf>
    <xf numFmtId="0" fontId="5" fillId="0" borderId="0" xfId="61" applyFont="1" applyAlignment="1">
      <alignment horizontal="center"/>
      <protection/>
    </xf>
    <xf numFmtId="0" fontId="4" fillId="0" borderId="0" xfId="61" applyFont="1">
      <alignment/>
      <protection/>
    </xf>
    <xf numFmtId="0" fontId="2" fillId="0" borderId="11" xfId="61" applyFont="1" applyBorder="1" applyAlignment="1">
      <alignment horizontal="center"/>
      <protection/>
    </xf>
    <xf numFmtId="0" fontId="2" fillId="0" borderId="11" xfId="61" applyFont="1" applyBorder="1" applyAlignment="1">
      <alignment horizontal="center" vertical="top" wrapText="1"/>
      <protection/>
    </xf>
    <xf numFmtId="0" fontId="2" fillId="0" borderId="13" xfId="61" applyFont="1" applyBorder="1" applyAlignment="1">
      <alignment horizontal="center" vertical="top" wrapText="1"/>
      <protection/>
    </xf>
    <xf numFmtId="0" fontId="2" fillId="0" borderId="14" xfId="61" applyFont="1" applyBorder="1" applyAlignment="1">
      <alignment horizontal="center" vertical="top" wrapText="1"/>
      <protection/>
    </xf>
    <xf numFmtId="0" fontId="0" fillId="0" borderId="11" xfId="61" applyBorder="1">
      <alignment/>
      <protection/>
    </xf>
    <xf numFmtId="0" fontId="0" fillId="0" borderId="13" xfId="61" applyBorder="1">
      <alignment/>
      <protection/>
    </xf>
    <xf numFmtId="0" fontId="0" fillId="0" borderId="0" xfId="61" applyFill="1" applyBorder="1" applyAlignment="1">
      <alignment horizontal="left"/>
      <protection/>
    </xf>
    <xf numFmtId="0" fontId="6" fillId="0" borderId="0" xfId="61" applyFont="1">
      <alignment/>
      <protection/>
    </xf>
    <xf numFmtId="0" fontId="2" fillId="0" borderId="0" xfId="61" applyFont="1">
      <alignment/>
      <protection/>
    </xf>
    <xf numFmtId="0" fontId="3" fillId="0" borderId="0" xfId="61" applyFont="1" applyAlignment="1">
      <alignment/>
      <protection/>
    </xf>
    <xf numFmtId="0" fontId="16" fillId="0" borderId="19" xfId="0" applyFont="1" applyBorder="1" applyAlignment="1">
      <alignment/>
    </xf>
    <xf numFmtId="0" fontId="2" fillId="0" borderId="15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8" fillId="0" borderId="11" xfId="57" applyFont="1" applyBorder="1">
      <alignment/>
      <protection/>
    </xf>
    <xf numFmtId="0" fontId="18" fillId="0" borderId="11" xfId="57" applyFont="1" applyBorder="1" applyAlignment="1">
      <alignment wrapText="1"/>
      <protection/>
    </xf>
    <xf numFmtId="0" fontId="18" fillId="0" borderId="0" xfId="57" applyFont="1" applyBorder="1">
      <alignment/>
      <protection/>
    </xf>
    <xf numFmtId="0" fontId="2" fillId="0" borderId="21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3" fillId="0" borderId="0" xfId="57" applyFont="1">
      <alignment/>
      <protection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6" fillId="0" borderId="19" xfId="0" applyFont="1" applyBorder="1" applyAlignment="1">
      <alignment horizontal="center"/>
    </xf>
    <xf numFmtId="0" fontId="6" fillId="0" borderId="0" xfId="61" applyFont="1" applyAlignment="1">
      <alignment horizontal="center"/>
      <protection/>
    </xf>
    <xf numFmtId="0" fontId="17" fillId="0" borderId="11" xfId="57" applyFont="1" applyBorder="1" applyAlignment="1">
      <alignment horizontal="center"/>
      <protection/>
    </xf>
    <xf numFmtId="0" fontId="10" fillId="0" borderId="0" xfId="61" applyFont="1" applyAlignment="1">
      <alignment/>
      <protection/>
    </xf>
    <xf numFmtId="0" fontId="16" fillId="0" borderId="0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0" fillId="0" borderId="0" xfId="61" applyAlignment="1">
      <alignment horizontal="left"/>
      <protection/>
    </xf>
    <xf numFmtId="0" fontId="6" fillId="0" borderId="0" xfId="61" applyFont="1" applyAlignment="1">
      <alignment vertical="top" wrapText="1"/>
      <protection/>
    </xf>
    <xf numFmtId="0" fontId="2" fillId="0" borderId="22" xfId="0" applyFont="1" applyBorder="1" applyAlignment="1">
      <alignment horizontal="center" vertical="top" wrapText="1"/>
    </xf>
    <xf numFmtId="0" fontId="0" fillId="0" borderId="0" xfId="57" applyFont="1">
      <alignment/>
      <protection/>
    </xf>
    <xf numFmtId="0" fontId="5" fillId="0" borderId="0" xfId="57" applyFont="1" applyAlignment="1">
      <alignment horizontal="center"/>
      <protection/>
    </xf>
    <xf numFmtId="0" fontId="0" fillId="0" borderId="11" xfId="57" applyFont="1" applyBorder="1">
      <alignment/>
      <protection/>
    </xf>
    <xf numFmtId="0" fontId="8" fillId="0" borderId="0" xfId="57" applyFont="1">
      <alignment/>
      <protection/>
    </xf>
    <xf numFmtId="0" fontId="2" fillId="0" borderId="11" xfId="57" applyFont="1" applyBorder="1">
      <alignment/>
      <protection/>
    </xf>
    <xf numFmtId="0" fontId="16" fillId="0" borderId="11" xfId="57" applyFont="1" applyBorder="1" applyAlignment="1">
      <alignment horizontal="center"/>
      <protection/>
    </xf>
    <xf numFmtId="0" fontId="16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0" fillId="0" borderId="11" xfId="0" applyFont="1" applyBorder="1" applyAlignment="1">
      <alignment wrapText="1"/>
    </xf>
    <xf numFmtId="0" fontId="26" fillId="0" borderId="12" xfId="57" applyFont="1" applyBorder="1" applyAlignment="1">
      <alignment horizontal="center" vertical="top" wrapText="1"/>
      <protection/>
    </xf>
    <xf numFmtId="0" fontId="23" fillId="0" borderId="0" xfId="57" applyFont="1" applyAlignment="1">
      <alignment horizontal="center"/>
      <protection/>
    </xf>
    <xf numFmtId="0" fontId="27" fillId="0" borderId="21" xfId="57" applyFont="1" applyBorder="1" applyAlignment="1">
      <alignment horizontal="center" wrapText="1"/>
      <protection/>
    </xf>
    <xf numFmtId="0" fontId="27" fillId="0" borderId="10" xfId="57" applyFont="1" applyBorder="1" applyAlignment="1">
      <alignment horizontal="center"/>
      <protection/>
    </xf>
    <xf numFmtId="0" fontId="0" fillId="0" borderId="14" xfId="61" applyBorder="1">
      <alignment/>
      <protection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29" fillId="0" borderId="0" xfId="57" applyFont="1" applyAlignment="1">
      <alignment horizontal="center"/>
      <protection/>
    </xf>
    <xf numFmtId="0" fontId="0" fillId="0" borderId="11" xfId="61" applyFont="1" applyBorder="1" applyAlignment="1">
      <alignment horizontal="center" vertical="top" wrapText="1"/>
      <protection/>
    </xf>
    <xf numFmtId="0" fontId="0" fillId="0" borderId="0" xfId="61" applyFont="1">
      <alignment/>
      <protection/>
    </xf>
    <xf numFmtId="0" fontId="2" fillId="0" borderId="11" xfId="57" applyFont="1" applyBorder="1" applyAlignment="1">
      <alignment horizontal="center"/>
      <protection/>
    </xf>
    <xf numFmtId="0" fontId="2" fillId="0" borderId="11" xfId="0" applyFont="1" applyBorder="1" applyAlignment="1">
      <alignment horizontal="center" vertical="center"/>
    </xf>
    <xf numFmtId="0" fontId="16" fillId="0" borderId="11" xfId="61" applyFont="1" applyBorder="1" applyAlignment="1">
      <alignment horizontal="center" wrapText="1"/>
      <protection/>
    </xf>
    <xf numFmtId="0" fontId="16" fillId="0" borderId="0" xfId="0" applyFont="1" applyAlignment="1">
      <alignment horizontal="center" vertical="top" wrapText="1"/>
    </xf>
    <xf numFmtId="0" fontId="2" fillId="0" borderId="11" xfId="61" applyFont="1" applyBorder="1" applyAlignment="1">
      <alignment horizontal="left" vertical="center" wrapText="1"/>
      <protection/>
    </xf>
    <xf numFmtId="0" fontId="2" fillId="0" borderId="11" xfId="61" applyFont="1" applyBorder="1" applyAlignment="1">
      <alignment horizontal="left" vertical="center"/>
      <protection/>
    </xf>
    <xf numFmtId="0" fontId="7" fillId="0" borderId="11" xfId="61" applyFont="1" applyBorder="1" applyAlignment="1">
      <alignment horizontal="left" vertical="center" wrapText="1"/>
      <protection/>
    </xf>
    <xf numFmtId="0" fontId="0" fillId="0" borderId="0" xfId="62">
      <alignment/>
      <protection/>
    </xf>
    <xf numFmtId="0" fontId="6" fillId="0" borderId="0" xfId="62" applyFont="1" applyAlignment="1">
      <alignment/>
      <protection/>
    </xf>
    <xf numFmtId="0" fontId="11" fillId="0" borderId="0" xfId="62" applyFont="1" applyAlignment="1">
      <alignment/>
      <protection/>
    </xf>
    <xf numFmtId="0" fontId="4" fillId="0" borderId="0" xfId="62" applyFont="1">
      <alignment/>
      <protection/>
    </xf>
    <xf numFmtId="0" fontId="16" fillId="0" borderId="11" xfId="62" applyFont="1" applyBorder="1" applyAlignment="1">
      <alignment horizontal="center" vertical="top" wrapText="1"/>
      <protection/>
    </xf>
    <xf numFmtId="0" fontId="2" fillId="0" borderId="0" xfId="62" applyFont="1">
      <alignment/>
      <protection/>
    </xf>
    <xf numFmtId="0" fontId="16" fillId="0" borderId="11" xfId="62" applyFont="1" applyBorder="1" applyAlignment="1">
      <alignment horizontal="center"/>
      <protection/>
    </xf>
    <xf numFmtId="0" fontId="2" fillId="0" borderId="11" xfId="62" applyFont="1" applyBorder="1">
      <alignment/>
      <protection/>
    </xf>
    <xf numFmtId="0" fontId="2" fillId="0" borderId="11" xfId="62" applyFont="1" applyBorder="1" applyAlignment="1">
      <alignment horizontal="center"/>
      <protection/>
    </xf>
    <xf numFmtId="0" fontId="0" fillId="0" borderId="0" xfId="62" applyAlignment="1">
      <alignment horizontal="left"/>
      <protection/>
    </xf>
    <xf numFmtId="0" fontId="6" fillId="0" borderId="0" xfId="62" applyFont="1">
      <alignment/>
      <protection/>
    </xf>
    <xf numFmtId="0" fontId="0" fillId="0" borderId="0" xfId="63">
      <alignment/>
      <protection/>
    </xf>
    <xf numFmtId="0" fontId="3" fillId="0" borderId="0" xfId="63" applyFont="1" applyAlignment="1">
      <alignment horizontal="right"/>
      <protection/>
    </xf>
    <xf numFmtId="0" fontId="4" fillId="0" borderId="0" xfId="63" applyFont="1" applyAlignment="1">
      <alignment horizontal="right"/>
      <protection/>
    </xf>
    <xf numFmtId="0" fontId="14" fillId="0" borderId="11" xfId="63" applyFont="1" applyBorder="1" applyAlignment="1">
      <alignment horizontal="center" vertical="top" wrapText="1"/>
      <protection/>
    </xf>
    <xf numFmtId="0" fontId="14" fillId="0" borderId="11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/>
      <protection/>
    </xf>
    <xf numFmtId="0" fontId="11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Border="1" applyAlignment="1">
      <alignment/>
    </xf>
    <xf numFmtId="0" fontId="35" fillId="0" borderId="11" xfId="0" applyFont="1" applyBorder="1" applyAlignment="1" quotePrefix="1">
      <alignment horizontal="center" vertical="top" wrapText="1"/>
    </xf>
    <xf numFmtId="0" fontId="0" fillId="33" borderId="11" xfId="0" applyFill="1" applyBorder="1" applyAlignment="1">
      <alignment/>
    </xf>
    <xf numFmtId="0" fontId="113" fillId="0" borderId="0" xfId="0" applyFont="1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center" vertical="top" wrapText="1"/>
      <protection/>
    </xf>
    <xf numFmtId="0" fontId="2" fillId="0" borderId="0" xfId="57" applyFont="1" applyAlignment="1">
      <alignment horizontal="center"/>
      <protection/>
    </xf>
    <xf numFmtId="0" fontId="6" fillId="0" borderId="0" xfId="57" applyFont="1">
      <alignment/>
      <protection/>
    </xf>
    <xf numFmtId="0" fontId="2" fillId="0" borderId="0" xfId="57" applyFont="1" applyAlignment="1">
      <alignment/>
      <protection/>
    </xf>
    <xf numFmtId="0" fontId="2" fillId="0" borderId="0" xfId="57" applyFont="1" applyBorder="1" applyAlignment="1">
      <alignment/>
      <protection/>
    </xf>
    <xf numFmtId="0" fontId="2" fillId="0" borderId="0" xfId="57" applyFont="1" applyBorder="1">
      <alignment/>
      <protection/>
    </xf>
    <xf numFmtId="0" fontId="2" fillId="0" borderId="0" xfId="57" applyFont="1" applyBorder="1" applyAlignment="1">
      <alignment horizontal="center" vertical="top" wrapText="1"/>
      <protection/>
    </xf>
    <xf numFmtId="0" fontId="14" fillId="0" borderId="0" xfId="57" applyFont="1" applyBorder="1" applyAlignment="1">
      <alignment horizontal="left"/>
      <protection/>
    </xf>
    <xf numFmtId="0" fontId="35" fillId="0" borderId="11" xfId="0" applyFont="1" applyBorder="1" applyAlignment="1">
      <alignment horizontal="center" vertical="top" wrapText="1"/>
    </xf>
    <xf numFmtId="0" fontId="2" fillId="0" borderId="11" xfId="57" applyFont="1" applyBorder="1" applyAlignment="1">
      <alignment/>
      <protection/>
    </xf>
    <xf numFmtId="0" fontId="12" fillId="0" borderId="0" xfId="57" applyFont="1" applyBorder="1" applyAlignment="1">
      <alignment/>
      <protection/>
    </xf>
    <xf numFmtId="0" fontId="2" fillId="0" borderId="11" xfId="57" applyFont="1" applyBorder="1" applyAlignment="1">
      <alignment vertical="top" wrapText="1"/>
      <protection/>
    </xf>
    <xf numFmtId="0" fontId="2" fillId="0" borderId="0" xfId="57" applyFont="1" applyAlignment="1">
      <alignment vertical="top" wrapText="1"/>
      <protection/>
    </xf>
    <xf numFmtId="0" fontId="16" fillId="0" borderId="0" xfId="57" applyFont="1">
      <alignment/>
      <protection/>
    </xf>
    <xf numFmtId="0" fontId="16" fillId="33" borderId="12" xfId="57" applyFont="1" applyFill="1" applyBorder="1" applyAlignment="1" quotePrefix="1">
      <alignment horizontal="center" vertical="center" wrapText="1"/>
      <protection/>
    </xf>
    <xf numFmtId="0" fontId="2" fillId="0" borderId="0" xfId="57" applyFont="1" applyBorder="1" applyAlignment="1">
      <alignment horizontal="left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2" fillId="0" borderId="11" xfId="57" applyFont="1" applyBorder="1" applyAlignment="1">
      <alignment horizontal="left" vertical="center"/>
      <protection/>
    </xf>
    <xf numFmtId="0" fontId="2" fillId="0" borderId="0" xfId="57" applyFont="1" applyAlignment="1">
      <alignment horizontal="left" vertical="center"/>
      <protection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4" fillId="0" borderId="11" xfId="0" applyFont="1" applyBorder="1" applyAlignment="1">
      <alignment horizontal="center" vertical="top" wrapText="1"/>
    </xf>
    <xf numFmtId="0" fontId="114" fillId="0" borderId="0" xfId="0" applyFont="1" applyBorder="1" applyAlignment="1">
      <alignment vertical="top"/>
    </xf>
    <xf numFmtId="0" fontId="112" fillId="0" borderId="11" xfId="0" applyFont="1" applyBorder="1" applyAlignment="1">
      <alignment horizontal="center"/>
    </xf>
    <xf numFmtId="0" fontId="115" fillId="0" borderId="11" xfId="0" applyFont="1" applyBorder="1" applyAlignment="1">
      <alignment horizontal="center" vertical="center" wrapText="1"/>
    </xf>
    <xf numFmtId="0" fontId="116" fillId="0" borderId="11" xfId="0" applyFont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117" fillId="0" borderId="0" xfId="0" applyFont="1" applyAlignment="1">
      <alignment horizontal="center"/>
    </xf>
    <xf numFmtId="0" fontId="110" fillId="0" borderId="0" xfId="0" applyFont="1" applyAlignment="1">
      <alignment/>
    </xf>
    <xf numFmtId="0" fontId="118" fillId="0" borderId="11" xfId="0" applyFont="1" applyBorder="1" applyAlignment="1">
      <alignment vertical="center" wrapText="1"/>
    </xf>
    <xf numFmtId="0" fontId="118" fillId="0" borderId="11" xfId="0" applyFont="1" applyBorder="1" applyAlignment="1">
      <alignment horizontal="left" vertical="center" wrapText="1" indent="2"/>
    </xf>
    <xf numFmtId="0" fontId="118" fillId="0" borderId="0" xfId="0" applyFont="1" applyBorder="1" applyAlignment="1">
      <alignment horizontal="left" vertical="center" wrapText="1" indent="2"/>
    </xf>
    <xf numFmtId="0" fontId="118" fillId="0" borderId="0" xfId="0" applyFont="1" applyBorder="1" applyAlignment="1">
      <alignment vertical="center" wrapText="1"/>
    </xf>
    <xf numFmtId="0" fontId="118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119" fillId="0" borderId="11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2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top"/>
    </xf>
    <xf numFmtId="0" fontId="2" fillId="0" borderId="11" xfId="61" applyFont="1" applyFill="1" applyBorder="1" applyAlignment="1">
      <alignment horizontal="left" vertical="center" wrapText="1"/>
      <protection/>
    </xf>
    <xf numFmtId="0" fontId="0" fillId="33" borderId="0" xfId="57" applyFont="1" applyFill="1">
      <alignment/>
      <protection/>
    </xf>
    <xf numFmtId="0" fontId="16" fillId="33" borderId="11" xfId="57" applyFont="1" applyFill="1" applyBorder="1" applyAlignment="1">
      <alignment horizontal="center"/>
      <protection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15" fillId="33" borderId="0" xfId="0" applyFont="1" applyFill="1" applyAlignment="1">
      <alignment wrapText="1"/>
    </xf>
    <xf numFmtId="0" fontId="2" fillId="33" borderId="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11" fillId="33" borderId="0" xfId="0" applyFont="1" applyFill="1" applyAlignment="1">
      <alignment/>
    </xf>
    <xf numFmtId="0" fontId="2" fillId="0" borderId="0" xfId="61" applyFont="1" applyAlignment="1">
      <alignment/>
      <protection/>
    </xf>
    <xf numFmtId="0" fontId="16" fillId="0" borderId="0" xfId="61" applyFont="1" applyAlignment="1">
      <alignment horizontal="right"/>
      <protection/>
    </xf>
    <xf numFmtId="0" fontId="121" fillId="0" borderId="0" xfId="0" applyFont="1" applyBorder="1" applyAlignment="1">
      <alignment vertical="top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" fillId="0" borderId="11" xfId="57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horizontal="left" vertical="center"/>
      <protection/>
    </xf>
    <xf numFmtId="0" fontId="119" fillId="0" borderId="0" xfId="0" applyFont="1" applyBorder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2" fillId="0" borderId="0" xfId="57" applyFont="1" applyAlignment="1">
      <alignment horizontal="center"/>
      <protection/>
    </xf>
    <xf numFmtId="0" fontId="4" fillId="0" borderId="0" xfId="61" applyFont="1" applyAlignment="1">
      <alignment horizontal="center"/>
      <protection/>
    </xf>
    <xf numFmtId="0" fontId="21" fillId="0" borderId="11" xfId="57" applyFont="1" applyBorder="1" applyAlignment="1">
      <alignment horizontal="center" vertical="center" wrapText="1"/>
      <protection/>
    </xf>
    <xf numFmtId="0" fontId="17" fillId="0" borderId="0" xfId="57" applyFont="1" applyBorder="1" applyAlignment="1">
      <alignment horizontal="center" vertical="center"/>
      <protection/>
    </xf>
    <xf numFmtId="0" fontId="17" fillId="0" borderId="0" xfId="57" applyFont="1" applyAlignment="1">
      <alignment horizontal="center" vertical="center"/>
      <protection/>
    </xf>
    <xf numFmtId="0" fontId="17" fillId="0" borderId="11" xfId="57" applyFont="1" applyBorder="1" applyAlignment="1">
      <alignment horizontal="center" vertical="center" wrapText="1"/>
      <protection/>
    </xf>
    <xf numFmtId="0" fontId="17" fillId="0" borderId="0" xfId="57" applyFont="1" applyAlignment="1">
      <alignment horizontal="center" vertical="center" wrapText="1"/>
      <protection/>
    </xf>
    <xf numFmtId="0" fontId="19" fillId="0" borderId="11" xfId="57" applyFont="1" applyBorder="1" applyAlignment="1">
      <alignment horizontal="center" vertical="center" wrapText="1"/>
      <protection/>
    </xf>
    <xf numFmtId="0" fontId="18" fillId="0" borderId="0" xfId="57" applyFont="1" applyAlignment="1">
      <alignment horizontal="center" vertical="center"/>
      <protection/>
    </xf>
    <xf numFmtId="0" fontId="18" fillId="0" borderId="0" xfId="57" applyFont="1" applyBorder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0" xfId="61" applyFont="1" applyAlignment="1">
      <alignment horizontal="center" vertical="center"/>
      <protection/>
    </xf>
    <xf numFmtId="0" fontId="0" fillId="0" borderId="0" xfId="61" applyAlignment="1">
      <alignment vertical="center"/>
      <protection/>
    </xf>
    <xf numFmtId="0" fontId="2" fillId="0" borderId="21" xfId="61" applyFont="1" applyFill="1" applyBorder="1" applyAlignment="1">
      <alignment horizontal="center" vertical="center" wrapText="1"/>
      <protection/>
    </xf>
    <xf numFmtId="0" fontId="2" fillId="0" borderId="24" xfId="61" applyFont="1" applyFill="1" applyBorder="1" applyAlignment="1">
      <alignment horizontal="center" vertical="center" wrapText="1"/>
      <protection/>
    </xf>
    <xf numFmtId="0" fontId="2" fillId="0" borderId="13" xfId="61" applyFont="1" applyBorder="1" applyAlignment="1">
      <alignment horizontal="center" vertical="center" wrapText="1"/>
      <protection/>
    </xf>
    <xf numFmtId="0" fontId="2" fillId="0" borderId="0" xfId="61" applyFont="1" applyAlignment="1">
      <alignment vertical="center"/>
      <protection/>
    </xf>
    <xf numFmtId="0" fontId="14" fillId="0" borderId="0" xfId="61" applyFont="1">
      <alignment/>
      <protection/>
    </xf>
    <xf numFmtId="0" fontId="14" fillId="0" borderId="0" xfId="61" applyFont="1" applyAlignment="1">
      <alignment vertical="top" wrapText="1"/>
      <protection/>
    </xf>
    <xf numFmtId="0" fontId="12" fillId="0" borderId="0" xfId="61" applyFont="1">
      <alignment/>
      <protection/>
    </xf>
    <xf numFmtId="0" fontId="2" fillId="0" borderId="0" xfId="61" applyFont="1" applyAlignment="1">
      <alignment vertical="top" wrapText="1"/>
      <protection/>
    </xf>
    <xf numFmtId="0" fontId="12" fillId="0" borderId="0" xfId="61" applyFont="1" applyAlignment="1">
      <alignment horizontal="center"/>
      <protection/>
    </xf>
    <xf numFmtId="2" fontId="14" fillId="0" borderId="11" xfId="0" applyNumberFormat="1" applyFont="1" applyBorder="1" applyAlignment="1">
      <alignment horizontal="center"/>
    </xf>
    <xf numFmtId="0" fontId="2" fillId="33" borderId="11" xfId="0" applyFont="1" applyFill="1" applyBorder="1" applyAlignment="1">
      <alignment/>
    </xf>
    <xf numFmtId="1" fontId="0" fillId="0" borderId="0" xfId="0" applyNumberFormat="1" applyFont="1" applyAlignment="1">
      <alignment/>
    </xf>
    <xf numFmtId="2" fontId="0" fillId="0" borderId="11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2" fontId="11" fillId="0" borderId="11" xfId="57" applyNumberFormat="1" applyFont="1" applyBorder="1" applyAlignment="1">
      <alignment horizontal="right"/>
      <protection/>
    </xf>
    <xf numFmtId="2" fontId="0" fillId="0" borderId="11" xfId="0" applyNumberFormat="1" applyFont="1" applyBorder="1" applyAlignment="1">
      <alignment horizontal="right"/>
    </xf>
    <xf numFmtId="2" fontId="119" fillId="0" borderId="11" xfId="0" applyNumberFormat="1" applyFon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122" fillId="0" borderId="11" xfId="0" applyNumberFormat="1" applyFont="1" applyBorder="1" applyAlignment="1">
      <alignment horizontal="right"/>
    </xf>
    <xf numFmtId="0" fontId="2" fillId="0" borderId="25" xfId="0" applyFont="1" applyBorder="1" applyAlignment="1">
      <alignment vertical="top" wrapText="1"/>
    </xf>
    <xf numFmtId="0" fontId="2" fillId="0" borderId="0" xfId="57" applyFont="1" applyAlignment="1">
      <alignment horizontal="left"/>
      <protection/>
    </xf>
    <xf numFmtId="0" fontId="16" fillId="0" borderId="19" xfId="0" applyFont="1" applyBorder="1" applyAlignment="1">
      <alignment horizontal="left"/>
    </xf>
    <xf numFmtId="0" fontId="0" fillId="33" borderId="14" xfId="0" applyFont="1" applyFill="1" applyBorder="1" applyAlignment="1">
      <alignment/>
    </xf>
    <xf numFmtId="0" fontId="114" fillId="0" borderId="0" xfId="0" applyFont="1" applyBorder="1" applyAlignment="1">
      <alignment horizontal="center" vertical="top"/>
    </xf>
    <xf numFmtId="0" fontId="42" fillId="0" borderId="0" xfId="0" applyFont="1" applyAlignment="1">
      <alignment/>
    </xf>
    <xf numFmtId="2" fontId="0" fillId="0" borderId="0" xfId="0" applyNumberFormat="1" applyFont="1" applyAlignment="1">
      <alignment/>
    </xf>
    <xf numFmtId="0" fontId="119" fillId="0" borderId="0" xfId="0" applyFont="1" applyAlignment="1">
      <alignment/>
    </xf>
    <xf numFmtId="2" fontId="119" fillId="0" borderId="0" xfId="0" applyNumberFormat="1" applyFont="1" applyAlignment="1">
      <alignment/>
    </xf>
    <xf numFmtId="2" fontId="0" fillId="0" borderId="11" xfId="0" applyNumberFormat="1" applyFont="1" applyBorder="1" applyAlignment="1">
      <alignment horizontal="center" vertical="top" wrapText="1"/>
    </xf>
    <xf numFmtId="2" fontId="0" fillId="0" borderId="12" xfId="0" applyNumberFormat="1" applyFont="1" applyBorder="1" applyAlignment="1">
      <alignment horizontal="center" vertical="top" wrapText="1"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6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" fontId="0" fillId="33" borderId="11" xfId="0" applyNumberFormat="1" applyFont="1" applyFill="1" applyBorder="1" applyAlignment="1">
      <alignment/>
    </xf>
    <xf numFmtId="0" fontId="41" fillId="0" borderId="0" xfId="0" applyFont="1" applyAlignment="1">
      <alignment/>
    </xf>
    <xf numFmtId="2" fontId="0" fillId="33" borderId="11" xfId="0" applyNumberFormat="1" applyFont="1" applyFill="1" applyBorder="1" applyAlignment="1">
      <alignment horizontal="right"/>
    </xf>
    <xf numFmtId="0" fontId="0" fillId="0" borderId="0" xfId="63" applyAlignment="1">
      <alignment vertical="center"/>
      <protection/>
    </xf>
    <xf numFmtId="0" fontId="2" fillId="0" borderId="0" xfId="57" applyFont="1" applyBorder="1" applyAlignment="1">
      <alignment horizontal="center" vertical="center" wrapText="1"/>
      <protection/>
    </xf>
    <xf numFmtId="0" fontId="2" fillId="0" borderId="0" xfId="57" applyFont="1" applyBorder="1" applyAlignment="1">
      <alignment vertical="center"/>
      <protection/>
    </xf>
    <xf numFmtId="0" fontId="14" fillId="0" borderId="0" xfId="57" applyFont="1" applyBorder="1" applyAlignment="1">
      <alignment horizontal="left" vertical="center"/>
      <protection/>
    </xf>
    <xf numFmtId="0" fontId="2" fillId="33" borderId="11" xfId="57" applyFont="1" applyFill="1" applyBorder="1" applyAlignment="1">
      <alignment horizontal="center" vertical="center"/>
      <protection/>
    </xf>
    <xf numFmtId="0" fontId="2" fillId="0" borderId="0" xfId="57" applyFont="1" applyBorder="1" applyAlignment="1">
      <alignment horizontal="left"/>
      <protection/>
    </xf>
    <xf numFmtId="0" fontId="34" fillId="0" borderId="11" xfId="0" applyFont="1" applyBorder="1" applyAlignment="1">
      <alignment horizontal="center" vertical="center" wrapText="1"/>
    </xf>
    <xf numFmtId="0" fontId="6" fillId="0" borderId="0" xfId="62" applyFont="1" applyAlignment="1">
      <alignment vertical="top" wrapText="1"/>
      <protection/>
    </xf>
    <xf numFmtId="0" fontId="123" fillId="0" borderId="11" xfId="0" applyFont="1" applyBorder="1" applyAlignment="1">
      <alignment vertical="center" wrapText="1"/>
    </xf>
    <xf numFmtId="0" fontId="123" fillId="0" borderId="11" xfId="0" applyFont="1" applyBorder="1" applyAlignment="1">
      <alignment horizontal="center" vertical="center" wrapText="1"/>
    </xf>
    <xf numFmtId="0" fontId="123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2" fontId="18" fillId="0" borderId="11" xfId="57" applyNumberFormat="1" applyFont="1" applyBorder="1" applyAlignment="1">
      <alignment/>
      <protection/>
    </xf>
    <xf numFmtId="2" fontId="18" fillId="0" borderId="11" xfId="57" applyNumberFormat="1" applyFont="1" applyBorder="1">
      <alignment/>
      <protection/>
    </xf>
    <xf numFmtId="0" fontId="14" fillId="0" borderId="0" xfId="61" applyFont="1" applyAlignment="1">
      <alignment horizontal="left"/>
      <protection/>
    </xf>
    <xf numFmtId="0" fontId="2" fillId="0" borderId="11" xfId="57" applyFont="1" applyBorder="1" applyAlignment="1">
      <alignment horizontal="right" vertical="center"/>
      <protection/>
    </xf>
    <xf numFmtId="0" fontId="2" fillId="0" borderId="0" xfId="57" applyFont="1" applyBorder="1" applyAlignment="1">
      <alignment vertical="top" wrapText="1"/>
      <protection/>
    </xf>
    <xf numFmtId="0" fontId="2" fillId="0" borderId="11" xfId="57" applyFont="1" applyBorder="1" applyAlignment="1">
      <alignment horizontal="right"/>
      <protection/>
    </xf>
    <xf numFmtId="2" fontId="2" fillId="0" borderId="11" xfId="0" applyNumberFormat="1" applyFont="1" applyBorder="1" applyAlignment="1">
      <alignment/>
    </xf>
    <xf numFmtId="0" fontId="2" fillId="0" borderId="0" xfId="63" applyFont="1">
      <alignment/>
      <protection/>
    </xf>
    <xf numFmtId="0" fontId="14" fillId="0" borderId="11" xfId="63" applyFont="1" applyBorder="1" applyAlignment="1">
      <alignment vertical="center"/>
      <protection/>
    </xf>
    <xf numFmtId="0" fontId="14" fillId="0" borderId="0" xfId="63" applyFont="1" applyAlignment="1">
      <alignment vertical="center"/>
      <protection/>
    </xf>
    <xf numFmtId="2" fontId="12" fillId="0" borderId="11" xfId="63" applyNumberFormat="1" applyFont="1" applyBorder="1" applyAlignment="1">
      <alignment horizontal="right" vertical="top" wrapText="1"/>
      <protection/>
    </xf>
    <xf numFmtId="2" fontId="14" fillId="0" borderId="11" xfId="63" applyNumberFormat="1" applyFont="1" applyBorder="1" applyAlignment="1">
      <alignment horizontal="right" vertical="center"/>
      <protection/>
    </xf>
    <xf numFmtId="0" fontId="14" fillId="0" borderId="11" xfId="63" applyFont="1" applyBorder="1" applyAlignment="1">
      <alignment horizontal="right" vertical="center"/>
      <protection/>
    </xf>
    <xf numFmtId="0" fontId="12" fillId="0" borderId="11" xfId="63" applyFont="1" applyBorder="1" applyAlignment="1">
      <alignment horizontal="left" vertical="center" wrapText="1"/>
      <protection/>
    </xf>
    <xf numFmtId="2" fontId="12" fillId="0" borderId="11" xfId="63" applyNumberFormat="1" applyFont="1" applyBorder="1" applyAlignment="1">
      <alignment horizontal="right" vertical="center" wrapText="1"/>
      <protection/>
    </xf>
    <xf numFmtId="0" fontId="12" fillId="0" borderId="11" xfId="63" applyFont="1" applyBorder="1" applyAlignment="1">
      <alignment horizontal="center" vertical="center" wrapText="1"/>
      <protection/>
    </xf>
    <xf numFmtId="2" fontId="14" fillId="0" borderId="11" xfId="63" applyNumberFormat="1" applyFont="1" applyBorder="1" applyAlignment="1">
      <alignment horizontal="right" vertical="center" wrapText="1"/>
      <protection/>
    </xf>
    <xf numFmtId="0" fontId="12" fillId="0" borderId="11" xfId="63" applyFont="1" applyBorder="1" applyAlignment="1">
      <alignment horizontal="right" vertical="center" wrapText="1"/>
      <protection/>
    </xf>
    <xf numFmtId="0" fontId="14" fillId="0" borderId="11" xfId="63" applyFont="1" applyBorder="1" applyAlignment="1">
      <alignment horizontal="right" vertical="center" wrapText="1"/>
      <protection/>
    </xf>
    <xf numFmtId="1" fontId="0" fillId="0" borderId="11" xfId="0" applyNumberFormat="1" applyBorder="1" applyAlignment="1">
      <alignment/>
    </xf>
    <xf numFmtId="0" fontId="6" fillId="0" borderId="0" xfId="63" applyFont="1" applyAlignment="1">
      <alignment horizontal="left"/>
      <protection/>
    </xf>
    <xf numFmtId="0" fontId="6" fillId="0" borderId="0" xfId="63" applyFont="1">
      <alignment/>
      <protection/>
    </xf>
    <xf numFmtId="2" fontId="0" fillId="0" borderId="11" xfId="62" applyNumberFormat="1" applyBorder="1">
      <alignment/>
      <protection/>
    </xf>
    <xf numFmtId="2" fontId="2" fillId="0" borderId="11" xfId="62" applyNumberFormat="1" applyFont="1" applyBorder="1">
      <alignment/>
      <protection/>
    </xf>
    <xf numFmtId="2" fontId="16" fillId="0" borderId="11" xfId="62" applyNumberFormat="1" applyFont="1" applyBorder="1">
      <alignment/>
      <protection/>
    </xf>
    <xf numFmtId="0" fontId="2" fillId="0" borderId="0" xfId="0" applyFont="1" applyFill="1" applyBorder="1" applyAlignment="1">
      <alignment/>
    </xf>
    <xf numFmtId="0" fontId="0" fillId="0" borderId="0" xfId="63" applyBorder="1">
      <alignment/>
      <protection/>
    </xf>
    <xf numFmtId="0" fontId="12" fillId="0" borderId="0" xfId="63" applyFont="1" applyBorder="1" applyAlignment="1">
      <alignment horizontal="center" vertical="top" wrapText="1"/>
      <protection/>
    </xf>
    <xf numFmtId="2" fontId="0" fillId="0" borderId="0" xfId="63" applyNumberFormat="1" applyBorder="1">
      <alignment/>
      <protection/>
    </xf>
    <xf numFmtId="2" fontId="93" fillId="0" borderId="11" xfId="57" applyNumberFormat="1" applyBorder="1">
      <alignment/>
      <protection/>
    </xf>
    <xf numFmtId="0" fontId="2" fillId="0" borderId="0" xfId="62" applyFont="1" applyAlignment="1">
      <alignment/>
      <protection/>
    </xf>
    <xf numFmtId="0" fontId="13" fillId="0" borderId="0" xfId="0" applyFont="1" applyAlignment="1">
      <alignment/>
    </xf>
    <xf numFmtId="0" fontId="31" fillId="0" borderId="0" xfId="0" applyFont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57" applyFont="1" applyFill="1" applyBorder="1" applyAlignment="1" quotePrefix="1">
      <alignment horizontal="center" vertical="center" wrapText="1"/>
      <protection/>
    </xf>
    <xf numFmtId="0" fontId="16" fillId="33" borderId="11" xfId="57" applyFont="1" applyFill="1" applyBorder="1" applyAlignment="1" quotePrefix="1">
      <alignment horizontal="center" vertical="center" wrapText="1"/>
      <protection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0" fillId="0" borderId="14" xfId="0" applyNumberFormat="1" applyFont="1" applyBorder="1" applyAlignment="1">
      <alignment/>
    </xf>
    <xf numFmtId="0" fontId="16" fillId="0" borderId="11" xfId="62" applyFont="1" applyBorder="1" applyAlignment="1">
      <alignment horizontal="center" vertical="center" wrapText="1"/>
      <protection/>
    </xf>
    <xf numFmtId="0" fontId="16" fillId="0" borderId="0" xfId="62" applyFont="1" applyAlignment="1">
      <alignment vertical="center"/>
      <protection/>
    </xf>
    <xf numFmtId="0" fontId="16" fillId="0" borderId="0" xfId="62" applyFont="1" applyBorder="1" applyAlignment="1">
      <alignment vertical="center"/>
      <protection/>
    </xf>
    <xf numFmtId="0" fontId="0" fillId="0" borderId="0" xfId="62" applyAlignment="1">
      <alignment vertical="center"/>
      <protection/>
    </xf>
    <xf numFmtId="0" fontId="16" fillId="0" borderId="14" xfId="62" applyFont="1" applyBorder="1" applyAlignment="1">
      <alignment horizontal="center" vertical="center" wrapText="1"/>
      <protection/>
    </xf>
    <xf numFmtId="0" fontId="16" fillId="0" borderId="22" xfId="62" applyFont="1" applyBorder="1" applyAlignment="1">
      <alignment horizontal="center" vertical="center" wrapText="1"/>
      <protection/>
    </xf>
    <xf numFmtId="0" fontId="16" fillId="0" borderId="15" xfId="62" applyFont="1" applyBorder="1" applyAlignment="1">
      <alignment horizontal="center" vertical="center" wrapText="1"/>
      <protection/>
    </xf>
    <xf numFmtId="0" fontId="110" fillId="0" borderId="11" xfId="0" applyFont="1" applyBorder="1" applyAlignment="1">
      <alignment vertical="center" wrapText="1"/>
    </xf>
    <xf numFmtId="0" fontId="110" fillId="0" borderId="11" xfId="0" applyFont="1" applyBorder="1" applyAlignment="1">
      <alignment wrapText="1"/>
    </xf>
    <xf numFmtId="0" fontId="44" fillId="0" borderId="0" xfId="0" applyFont="1" applyAlignment="1">
      <alignment/>
    </xf>
    <xf numFmtId="0" fontId="41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2" fillId="0" borderId="0" xfId="57" applyFont="1" applyAlignment="1">
      <alignment horizontal="center"/>
      <protection/>
    </xf>
    <xf numFmtId="0" fontId="14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110" fillId="0" borderId="0" xfId="57" applyFont="1" applyBorder="1">
      <alignment/>
      <protection/>
    </xf>
    <xf numFmtId="0" fontId="33" fillId="33" borderId="0" xfId="0" applyFont="1" applyFill="1" applyAlignment="1">
      <alignment/>
    </xf>
    <xf numFmtId="0" fontId="35" fillId="0" borderId="0" xfId="0" applyFont="1" applyBorder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 horizontal="right"/>
    </xf>
    <xf numFmtId="0" fontId="110" fillId="33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 quotePrefix="1">
      <alignment horizontal="center" vertical="top" wrapText="1"/>
    </xf>
    <xf numFmtId="0" fontId="35" fillId="0" borderId="12" xfId="0" applyFont="1" applyBorder="1" applyAlignment="1">
      <alignment horizontal="center" vertical="top" wrapText="1"/>
    </xf>
    <xf numFmtId="0" fontId="41" fillId="0" borderId="0" xfId="0" applyFont="1" applyAlignment="1">
      <alignment/>
    </xf>
    <xf numFmtId="2" fontId="0" fillId="0" borderId="24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11" fillId="0" borderId="11" xfId="57" applyNumberFormat="1" applyFont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2" fontId="0" fillId="0" borderId="21" xfId="0" applyNumberFormat="1" applyFill="1" applyBorder="1" applyAlignment="1">
      <alignment/>
    </xf>
    <xf numFmtId="2" fontId="0" fillId="0" borderId="24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21" xfId="0" applyFill="1" applyBorder="1" applyAlignment="1">
      <alignment/>
    </xf>
    <xf numFmtId="0" fontId="124" fillId="0" borderId="11" xfId="0" applyFont="1" applyBorder="1" applyAlignment="1">
      <alignment vertical="center" wrapText="1"/>
    </xf>
    <xf numFmtId="0" fontId="12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right" vertical="top" wrapText="1"/>
    </xf>
    <xf numFmtId="17" fontId="12" fillId="0" borderId="11" xfId="0" applyNumberFormat="1" applyFont="1" applyBorder="1" applyAlignment="1">
      <alignment horizontal="left" vertical="top" wrapText="1"/>
    </xf>
    <xf numFmtId="0" fontId="0" fillId="0" borderId="11" xfId="57" applyFont="1" applyBorder="1" applyAlignment="1">
      <alignment/>
      <protection/>
    </xf>
    <xf numFmtId="1" fontId="93" fillId="0" borderId="0" xfId="57" applyNumberFormat="1" applyBorder="1">
      <alignment/>
      <protection/>
    </xf>
    <xf numFmtId="0" fontId="11" fillId="0" borderId="0" xfId="61" applyFont="1">
      <alignment/>
      <protection/>
    </xf>
    <xf numFmtId="0" fontId="2" fillId="33" borderId="11" xfId="0" applyFont="1" applyFill="1" applyBorder="1" applyAlignment="1">
      <alignment horizontal="center" vertical="center" wrapText="1"/>
    </xf>
    <xf numFmtId="172" fontId="93" fillId="0" borderId="11" xfId="57" applyNumberFormat="1" applyBorder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0" fontId="42" fillId="0" borderId="0" xfId="0" applyFont="1" applyAlignment="1">
      <alignment vertical="center"/>
    </xf>
    <xf numFmtId="1" fontId="0" fillId="0" borderId="0" xfId="61" applyNumberFormat="1">
      <alignment/>
      <protection/>
    </xf>
    <xf numFmtId="1" fontId="6" fillId="0" borderId="0" xfId="61" applyNumberFormat="1" applyFont="1">
      <alignment/>
      <protection/>
    </xf>
    <xf numFmtId="1" fontId="6" fillId="0" borderId="0" xfId="61" applyNumberFormat="1" applyFont="1" applyAlignment="1">
      <alignment vertical="top" wrapText="1"/>
      <protection/>
    </xf>
    <xf numFmtId="0" fontId="121" fillId="0" borderId="11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/>
    </xf>
    <xf numFmtId="0" fontId="33" fillId="0" borderId="14" xfId="0" applyFont="1" applyBorder="1" applyAlignment="1" quotePrefix="1">
      <alignment horizontal="center" vertical="top" wrapText="1"/>
    </xf>
    <xf numFmtId="0" fontId="2" fillId="0" borderId="12" xfId="0" applyFont="1" applyBorder="1" applyAlignment="1">
      <alignment/>
    </xf>
    <xf numFmtId="0" fontId="33" fillId="0" borderId="15" xfId="0" applyFont="1" applyBorder="1" applyAlignment="1" quotePrefix="1">
      <alignment horizontal="right" vertical="top" wrapText="1"/>
    </xf>
    <xf numFmtId="0" fontId="33" fillId="0" borderId="11" xfId="0" applyFont="1" applyBorder="1" applyAlignment="1" quotePrefix="1">
      <alignment horizontal="right" vertical="top" wrapText="1"/>
    </xf>
    <xf numFmtId="0" fontId="45" fillId="0" borderId="11" xfId="0" applyFont="1" applyBorder="1" applyAlignment="1" quotePrefix="1">
      <alignment horizontal="center" vertical="top" wrapText="1"/>
    </xf>
    <xf numFmtId="0" fontId="45" fillId="0" borderId="10" xfId="0" applyFont="1" applyBorder="1" applyAlignment="1" quotePrefix="1">
      <alignment horizontal="center" vertical="top" wrapText="1"/>
    </xf>
    <xf numFmtId="2" fontId="33" fillId="0" borderId="11" xfId="0" applyNumberFormat="1" applyFont="1" applyBorder="1" applyAlignment="1" quotePrefix="1">
      <alignment horizontal="right" vertical="top" wrapText="1"/>
    </xf>
    <xf numFmtId="0" fontId="4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1" fillId="0" borderId="11" xfId="0" applyFont="1" applyFill="1" applyBorder="1" applyAlignment="1">
      <alignment/>
    </xf>
    <xf numFmtId="1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 vertical="top" wrapText="1"/>
    </xf>
    <xf numFmtId="2" fontId="0" fillId="0" borderId="0" xfId="57" applyNumberFormat="1" applyFont="1">
      <alignment/>
      <protection/>
    </xf>
    <xf numFmtId="2" fontId="11" fillId="0" borderId="11" xfId="57" applyNumberFormat="1" applyFont="1" applyBorder="1" applyAlignment="1">
      <alignment vertical="center"/>
      <protection/>
    </xf>
    <xf numFmtId="2" fontId="11" fillId="0" borderId="11" xfId="57" applyNumberFormat="1" applyFont="1" applyBorder="1" applyAlignment="1">
      <alignment horizontal="center"/>
      <protection/>
    </xf>
    <xf numFmtId="0" fontId="122" fillId="0" borderId="0" xfId="0" applyFont="1" applyAlignment="1">
      <alignment horizontal="left"/>
    </xf>
    <xf numFmtId="0" fontId="125" fillId="0" borderId="0" xfId="0" applyFont="1" applyAlignment="1">
      <alignment horizontal="left" vertical="center"/>
    </xf>
    <xf numFmtId="0" fontId="21" fillId="0" borderId="14" xfId="57" applyFont="1" applyBorder="1" applyAlignment="1">
      <alignment horizontal="center" vertical="center" wrapText="1"/>
      <protection/>
    </xf>
    <xf numFmtId="0" fontId="0" fillId="0" borderId="26" xfId="61" applyBorder="1" applyAlignment="1">
      <alignment horizontal="center" vertical="center"/>
      <protection/>
    </xf>
    <xf numFmtId="0" fontId="0" fillId="0" borderId="27" xfId="61" applyBorder="1" applyAlignment="1">
      <alignment horizontal="center" vertical="center"/>
      <protection/>
    </xf>
    <xf numFmtId="0" fontId="0" fillId="0" borderId="28" xfId="6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126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122" fillId="0" borderId="0" xfId="0" applyFont="1" applyAlignment="1">
      <alignment/>
    </xf>
    <xf numFmtId="172" fontId="0" fillId="0" borderId="0" xfId="0" applyNumberFormat="1" applyFont="1" applyAlignment="1">
      <alignment/>
    </xf>
    <xf numFmtId="1" fontId="2" fillId="0" borderId="11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top" wrapText="1"/>
    </xf>
    <xf numFmtId="2" fontId="42" fillId="0" borderId="0" xfId="0" applyNumberFormat="1" applyFont="1" applyAlignment="1">
      <alignment vertical="top" wrapText="1"/>
    </xf>
    <xf numFmtId="0" fontId="125" fillId="0" borderId="0" xfId="0" applyFont="1" applyAlignment="1">
      <alignment vertical="top" wrapText="1"/>
    </xf>
    <xf numFmtId="0" fontId="127" fillId="0" borderId="0" xfId="0" applyFont="1" applyAlignment="1">
      <alignment vertical="top" wrapText="1"/>
    </xf>
    <xf numFmtId="2" fontId="127" fillId="0" borderId="0" xfId="0" applyNumberFormat="1" applyFont="1" applyAlignment="1">
      <alignment vertical="top" wrapText="1"/>
    </xf>
    <xf numFmtId="172" fontId="0" fillId="0" borderId="0" xfId="0" applyNumberFormat="1" applyFont="1" applyAlignment="1">
      <alignment vertical="top" wrapText="1"/>
    </xf>
    <xf numFmtId="172" fontId="119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93" fillId="0" borderId="0" xfId="57" applyFont="1">
      <alignment/>
      <protection/>
    </xf>
    <xf numFmtId="0" fontId="2" fillId="0" borderId="0" xfId="62" applyFont="1" applyBorder="1" applyAlignment="1">
      <alignment horizontal="center"/>
      <protection/>
    </xf>
    <xf numFmtId="2" fontId="2" fillId="0" borderId="0" xfId="62" applyNumberFormat="1" applyFont="1" applyBorder="1">
      <alignment/>
      <protection/>
    </xf>
    <xf numFmtId="0" fontId="2" fillId="0" borderId="11" xfId="62" applyFont="1" applyBorder="1" applyAlignment="1">
      <alignment horizontal="left" vertical="center" wrapText="1"/>
      <protection/>
    </xf>
    <xf numFmtId="2" fontId="16" fillId="0" borderId="11" xfId="62" applyNumberFormat="1" applyFont="1" applyBorder="1" applyAlignment="1">
      <alignment vertical="center"/>
      <protection/>
    </xf>
    <xf numFmtId="1" fontId="2" fillId="0" borderId="0" xfId="0" applyNumberFormat="1" applyFont="1" applyAlignment="1">
      <alignment vertical="top" wrapText="1"/>
    </xf>
    <xf numFmtId="0" fontId="93" fillId="0" borderId="0" xfId="57" applyFont="1">
      <alignment/>
      <protection/>
    </xf>
    <xf numFmtId="0" fontId="0" fillId="33" borderId="0" xfId="0" applyFill="1" applyBorder="1" applyAlignment="1">
      <alignment/>
    </xf>
    <xf numFmtId="1" fontId="0" fillId="0" borderId="0" xfId="0" applyNumberFormat="1" applyFont="1" applyBorder="1" applyAlignment="1">
      <alignment/>
    </xf>
    <xf numFmtId="0" fontId="6" fillId="0" borderId="0" xfId="57" applyFont="1" applyAlignment="1">
      <alignment horizontal="center"/>
      <protection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Fill="1" applyBorder="1" applyAlignment="1">
      <alignment/>
    </xf>
    <xf numFmtId="0" fontId="128" fillId="0" borderId="11" xfId="0" applyFont="1" applyBorder="1" applyAlignment="1">
      <alignment vertical="center" wrapText="1"/>
    </xf>
    <xf numFmtId="0" fontId="0" fillId="0" borderId="11" xfId="57" applyFont="1" applyBorder="1" applyAlignment="1">
      <alignment horizontal="left" vertical="center"/>
      <protection/>
    </xf>
    <xf numFmtId="0" fontId="0" fillId="0" borderId="11" xfId="57" applyFont="1" applyBorder="1" applyAlignment="1">
      <alignment horizontal="left"/>
      <protection/>
    </xf>
    <xf numFmtId="0" fontId="116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/>
    </xf>
    <xf numFmtId="0" fontId="12" fillId="0" borderId="11" xfId="63" applyFont="1" applyBorder="1" applyAlignment="1" quotePrefix="1">
      <alignment horizontal="center" vertical="center" wrapText="1"/>
      <protection/>
    </xf>
    <xf numFmtId="1" fontId="93" fillId="0" borderId="0" xfId="57" applyNumberFormat="1">
      <alignment/>
      <protection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right" vertical="top" wrapText="1"/>
    </xf>
    <xf numFmtId="1" fontId="0" fillId="0" borderId="0" xfId="0" applyNumberFormat="1" applyFont="1" applyBorder="1" applyAlignment="1">
      <alignment horizontal="right"/>
    </xf>
    <xf numFmtId="0" fontId="31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0" fontId="16" fillId="0" borderId="0" xfId="0" applyFont="1" applyBorder="1" applyAlignment="1">
      <alignment horizontal="right"/>
    </xf>
    <xf numFmtId="0" fontId="2" fillId="0" borderId="0" xfId="58" applyFont="1">
      <alignment/>
      <protection/>
    </xf>
    <xf numFmtId="0" fontId="2" fillId="0" borderId="0" xfId="58" applyFont="1" applyAlignment="1">
      <alignment horizontal="center" vertical="top" wrapText="1"/>
      <protection/>
    </xf>
    <xf numFmtId="0" fontId="34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2" fontId="0" fillId="0" borderId="10" xfId="0" applyNumberFormat="1" applyFont="1" applyBorder="1" applyAlignment="1">
      <alignment/>
    </xf>
    <xf numFmtId="0" fontId="35" fillId="0" borderId="12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93" fillId="0" borderId="0" xfId="57" applyAlignment="1">
      <alignment/>
      <protection/>
    </xf>
    <xf numFmtId="0" fontId="11" fillId="0" borderId="0" xfId="0" applyFont="1" applyBorder="1" applyAlignment="1">
      <alignment horizontal="left" vertical="top" wrapText="1"/>
    </xf>
    <xf numFmtId="0" fontId="18" fillId="0" borderId="0" xfId="57" applyFont="1" applyAlignment="1">
      <alignment vertical="center"/>
      <protection/>
    </xf>
    <xf numFmtId="0" fontId="2" fillId="33" borderId="11" xfId="0" applyFont="1" applyFill="1" applyBorder="1" applyAlignment="1">
      <alignment horizontal="center" vertical="center" wrapText="1"/>
    </xf>
    <xf numFmtId="2" fontId="12" fillId="0" borderId="11" xfId="63" applyNumberFormat="1" applyFont="1" applyBorder="1" applyAlignment="1" quotePrefix="1">
      <alignment horizontal="right" vertical="center" wrapText="1"/>
      <protection/>
    </xf>
    <xf numFmtId="0" fontId="14" fillId="0" borderId="11" xfId="63" applyFont="1" applyBorder="1" applyAlignment="1">
      <alignment horizontal="center"/>
      <protection/>
    </xf>
    <xf numFmtId="1" fontId="93" fillId="0" borderId="0" xfId="57" applyNumberFormat="1" applyFont="1">
      <alignment/>
      <protection/>
    </xf>
    <xf numFmtId="0" fontId="93" fillId="0" borderId="11" xfId="57" applyFont="1" applyBorder="1">
      <alignment/>
      <protection/>
    </xf>
    <xf numFmtId="0" fontId="0" fillId="0" borderId="0" xfId="0" applyFont="1" applyAlignment="1">
      <alignment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0" fillId="0" borderId="11" xfId="61" applyBorder="1" applyAlignment="1">
      <alignment vertical="center"/>
      <protection/>
    </xf>
    <xf numFmtId="1" fontId="0" fillId="0" borderId="11" xfId="61" applyNumberFormat="1" applyBorder="1" applyAlignment="1">
      <alignment vertical="center"/>
      <protection/>
    </xf>
    <xf numFmtId="0" fontId="2" fillId="0" borderId="11" xfId="61" applyFont="1" applyBorder="1" applyAlignment="1">
      <alignment vertical="center"/>
      <protection/>
    </xf>
    <xf numFmtId="1" fontId="0" fillId="0" borderId="0" xfId="0" applyNumberFormat="1" applyFont="1" applyFill="1" applyBorder="1" applyAlignment="1">
      <alignment/>
    </xf>
    <xf numFmtId="0" fontId="110" fillId="0" borderId="11" xfId="0" applyFont="1" applyBorder="1" applyAlignment="1">
      <alignment horizontal="center" vertical="center" wrapText="1"/>
    </xf>
    <xf numFmtId="2" fontId="0" fillId="0" borderId="11" xfId="62" applyNumberFormat="1" applyFont="1" applyBorder="1">
      <alignment/>
      <protection/>
    </xf>
    <xf numFmtId="2" fontId="129" fillId="0" borderId="11" xfId="62" applyNumberFormat="1" applyFont="1" applyBorder="1">
      <alignment/>
      <protection/>
    </xf>
    <xf numFmtId="2" fontId="0" fillId="0" borderId="11" xfId="62" applyNumberFormat="1" applyBorder="1" applyAlignment="1">
      <alignment vertical="center"/>
      <protection/>
    </xf>
    <xf numFmtId="1" fontId="0" fillId="33" borderId="0" xfId="0" applyNumberFormat="1" applyFont="1" applyFill="1" applyAlignment="1">
      <alignment/>
    </xf>
    <xf numFmtId="0" fontId="2" fillId="0" borderId="21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35" fillId="0" borderId="14" xfId="0" applyFont="1" applyBorder="1" applyAlignment="1" quotePrefix="1">
      <alignment horizontal="center" vertical="top" wrapText="1"/>
    </xf>
    <xf numFmtId="0" fontId="34" fillId="33" borderId="29" xfId="0" applyFont="1" applyFill="1" applyBorder="1" applyAlignment="1">
      <alignment horizontal="center" vertical="center" wrapText="1"/>
    </xf>
    <xf numFmtId="0" fontId="93" fillId="0" borderId="11" xfId="0" applyFont="1" applyBorder="1" applyAlignment="1">
      <alignment horizontal="center"/>
    </xf>
    <xf numFmtId="0" fontId="17" fillId="0" borderId="0" xfId="57" applyFont="1" applyBorder="1" applyAlignment="1">
      <alignment horizontal="left"/>
      <protection/>
    </xf>
    <xf numFmtId="0" fontId="93" fillId="0" borderId="0" xfId="57" applyBorder="1" applyAlignment="1">
      <alignment horizontal="center"/>
      <protection/>
    </xf>
    <xf numFmtId="0" fontId="5" fillId="0" borderId="0" xfId="0" applyFont="1" applyAlignment="1">
      <alignment/>
    </xf>
    <xf numFmtId="0" fontId="17" fillId="0" borderId="0" xfId="57" applyFont="1">
      <alignment/>
      <protection/>
    </xf>
    <xf numFmtId="0" fontId="16" fillId="0" borderId="12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16" fillId="33" borderId="11" xfId="0" applyFont="1" applyFill="1" applyBorder="1" applyAlignment="1">
      <alignment horizontal="center" vertical="top" wrapText="1"/>
    </xf>
    <xf numFmtId="0" fontId="48" fillId="0" borderId="0" xfId="57" applyFont="1" applyAlignment="1">
      <alignment/>
      <protection/>
    </xf>
    <xf numFmtId="0" fontId="49" fillId="0" borderId="0" xfId="0" applyFont="1" applyBorder="1" applyAlignment="1">
      <alignment/>
    </xf>
    <xf numFmtId="2" fontId="0" fillId="33" borderId="11" xfId="0" applyNumberFormat="1" applyFont="1" applyFill="1" applyBorder="1" applyAlignment="1">
      <alignment/>
    </xf>
    <xf numFmtId="2" fontId="12" fillId="0" borderId="11" xfId="0" applyNumberFormat="1" applyFont="1" applyBorder="1" applyAlignment="1">
      <alignment/>
    </xf>
    <xf numFmtId="0" fontId="14" fillId="0" borderId="11" xfId="0" applyFont="1" applyBorder="1" applyAlignment="1">
      <alignment/>
    </xf>
    <xf numFmtId="2" fontId="14" fillId="0" borderId="11" xfId="0" applyNumberFormat="1" applyFont="1" applyBorder="1" applyAlignment="1">
      <alignment/>
    </xf>
    <xf numFmtId="0" fontId="2" fillId="0" borderId="11" xfId="62" applyFont="1" applyBorder="1" applyAlignment="1">
      <alignment horizontal="left" vertical="center"/>
      <protection/>
    </xf>
    <xf numFmtId="17" fontId="118" fillId="0" borderId="11" xfId="0" applyNumberFormat="1" applyFont="1" applyBorder="1" applyAlignment="1">
      <alignment horizontal="center" vertical="center" wrapText="1"/>
    </xf>
    <xf numFmtId="0" fontId="130" fillId="35" borderId="11" xfId="0" applyFont="1" applyFill="1" applyBorder="1" applyAlignment="1">
      <alignment horizontal="center" vertical="center" wrapText="1"/>
    </xf>
    <xf numFmtId="0" fontId="130" fillId="35" borderId="11" xfId="0" applyFont="1" applyFill="1" applyBorder="1" applyAlignment="1">
      <alignment vertical="center" wrapText="1"/>
    </xf>
    <xf numFmtId="0" fontId="130" fillId="35" borderId="11" xfId="0" applyFont="1" applyFill="1" applyBorder="1" applyAlignment="1">
      <alignment/>
    </xf>
    <xf numFmtId="0" fontId="131" fillId="0" borderId="11" xfId="0" applyFont="1" applyBorder="1" applyAlignment="1">
      <alignment vertical="center" wrapText="1"/>
    </xf>
    <xf numFmtId="0" fontId="118" fillId="0" borderId="11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right"/>
    </xf>
    <xf numFmtId="2" fontId="122" fillId="0" borderId="0" xfId="0" applyNumberFormat="1" applyFont="1" applyBorder="1" applyAlignment="1">
      <alignment horizontal="right"/>
    </xf>
    <xf numFmtId="1" fontId="0" fillId="0" borderId="24" xfId="0" applyNumberFormat="1" applyFont="1" applyFill="1" applyBorder="1" applyAlignment="1">
      <alignment/>
    </xf>
    <xf numFmtId="1" fontId="33" fillId="0" borderId="11" xfId="0" applyNumberFormat="1" applyFont="1" applyBorder="1" applyAlignment="1" quotePrefix="1">
      <alignment horizontal="right" vertical="top" wrapText="1"/>
    </xf>
    <xf numFmtId="1" fontId="2" fillId="0" borderId="11" xfId="0" applyNumberFormat="1" applyFont="1" applyBorder="1" applyAlignment="1">
      <alignment horizontal="right"/>
    </xf>
    <xf numFmtId="0" fontId="2" fillId="0" borderId="0" xfId="58" applyFont="1" applyAlignment="1">
      <alignment vertical="top" wrapText="1"/>
      <protection/>
    </xf>
    <xf numFmtId="0" fontId="2" fillId="0" borderId="0" xfId="58" applyFont="1" applyAlignment="1">
      <alignment/>
      <protection/>
    </xf>
    <xf numFmtId="1" fontId="0" fillId="33" borderId="0" xfId="0" applyNumberFormat="1" applyFont="1" applyFill="1" applyBorder="1" applyAlignment="1">
      <alignment/>
    </xf>
    <xf numFmtId="1" fontId="18" fillId="0" borderId="11" xfId="57" applyNumberFormat="1" applyFont="1" applyBorder="1" applyAlignment="1">
      <alignment wrapText="1"/>
      <protection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1" fontId="17" fillId="0" borderId="0" xfId="57" applyNumberFormat="1" applyFont="1" applyAlignment="1">
      <alignment horizontal="center"/>
      <protection/>
    </xf>
    <xf numFmtId="0" fontId="19" fillId="0" borderId="11" xfId="57" applyFont="1" applyBorder="1" applyAlignment="1">
      <alignment horizontal="right" vertical="top" wrapText="1"/>
      <protection/>
    </xf>
    <xf numFmtId="0" fontId="18" fillId="0" borderId="11" xfId="57" applyFont="1" applyBorder="1" applyAlignment="1">
      <alignment horizontal="right" vertical="top" wrapText="1"/>
      <protection/>
    </xf>
    <xf numFmtId="0" fontId="27" fillId="0" borderId="11" xfId="57" applyFont="1" applyBorder="1" applyAlignment="1">
      <alignment horizontal="center" vertical="top" wrapText="1"/>
      <protection/>
    </xf>
    <xf numFmtId="0" fontId="27" fillId="0" borderId="11" xfId="57" applyFont="1" applyBorder="1" applyAlignment="1">
      <alignment horizontal="center"/>
      <protection/>
    </xf>
    <xf numFmtId="2" fontId="18" fillId="0" borderId="11" xfId="57" applyNumberFormat="1" applyFont="1" applyBorder="1" applyAlignment="1">
      <alignment horizontal="right" vertical="top" wrapText="1"/>
      <protection/>
    </xf>
    <xf numFmtId="2" fontId="19" fillId="0" borderId="11" xfId="57" applyNumberFormat="1" applyFont="1" applyBorder="1" applyAlignment="1">
      <alignment horizontal="right" vertical="top" wrapText="1"/>
      <protection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50" fillId="0" borderId="11" xfId="0" applyFont="1" applyBorder="1" applyAlignment="1" quotePrefix="1">
      <alignment horizontal="center" vertical="top" wrapText="1"/>
    </xf>
    <xf numFmtId="0" fontId="50" fillId="0" borderId="11" xfId="0" applyFont="1" applyBorder="1" applyAlignment="1">
      <alignment horizontal="center" vertical="center" wrapText="1"/>
    </xf>
    <xf numFmtId="2" fontId="93" fillId="0" borderId="0" xfId="57" applyNumberFormat="1">
      <alignment/>
      <protection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2" fontId="11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1" fontId="132" fillId="0" borderId="0" xfId="57" applyNumberFormat="1" applyFont="1">
      <alignment/>
      <protection/>
    </xf>
    <xf numFmtId="0" fontId="132" fillId="0" borderId="0" xfId="57" applyFont="1">
      <alignment/>
      <protection/>
    </xf>
    <xf numFmtId="0" fontId="132" fillId="0" borderId="0" xfId="57" applyFont="1" applyBorder="1">
      <alignment/>
      <protection/>
    </xf>
    <xf numFmtId="0" fontId="132" fillId="0" borderId="11" xfId="57" applyFont="1" applyBorder="1">
      <alignment/>
      <protection/>
    </xf>
    <xf numFmtId="0" fontId="6" fillId="0" borderId="11" xfId="0" applyFont="1" applyBorder="1" applyAlignment="1">
      <alignment horizontal="center"/>
    </xf>
    <xf numFmtId="0" fontId="28" fillId="0" borderId="0" xfId="57" applyFont="1" applyAlignment="1">
      <alignment/>
      <protection/>
    </xf>
    <xf numFmtId="0" fontId="112" fillId="0" borderId="0" xfId="61" applyFont="1" applyAlignment="1">
      <alignment horizontal="center"/>
      <protection/>
    </xf>
    <xf numFmtId="0" fontId="33" fillId="0" borderId="0" xfId="61" applyFont="1">
      <alignment/>
      <protection/>
    </xf>
    <xf numFmtId="0" fontId="34" fillId="0" borderId="0" xfId="61" applyFont="1">
      <alignment/>
      <protection/>
    </xf>
    <xf numFmtId="0" fontId="0" fillId="0" borderId="0" xfId="61" applyAlignment="1">
      <alignment horizontal="right"/>
      <protection/>
    </xf>
    <xf numFmtId="0" fontId="133" fillId="33" borderId="11" xfId="61" applyFont="1" applyFill="1" applyBorder="1" applyAlignment="1">
      <alignment horizontal="center" vertical="center" wrapText="1"/>
      <protection/>
    </xf>
    <xf numFmtId="0" fontId="2" fillId="33" borderId="11" xfId="61" applyFont="1" applyFill="1" applyBorder="1" applyAlignment="1">
      <alignment horizontal="center" vertical="center" wrapText="1"/>
      <protection/>
    </xf>
    <xf numFmtId="0" fontId="0" fillId="0" borderId="11" xfId="61" applyBorder="1" applyAlignment="1">
      <alignment horizontal="center" vertical="center" wrapText="1"/>
      <protection/>
    </xf>
    <xf numFmtId="0" fontId="0" fillId="33" borderId="11" xfId="61" applyFill="1" applyBorder="1" applyAlignment="1">
      <alignment horizontal="center" vertical="center" wrapText="1"/>
      <protection/>
    </xf>
    <xf numFmtId="0" fontId="134" fillId="33" borderId="11" xfId="61" applyFont="1" applyFill="1" applyBorder="1" applyAlignment="1">
      <alignment horizontal="center" vertical="center" wrapText="1"/>
      <protection/>
    </xf>
    <xf numFmtId="0" fontId="0" fillId="0" borderId="11" xfId="61" applyBorder="1" applyAlignment="1">
      <alignment horizontal="center"/>
      <protection/>
    </xf>
    <xf numFmtId="0" fontId="0" fillId="33" borderId="11" xfId="61" applyFill="1" applyBorder="1">
      <alignment/>
      <protection/>
    </xf>
    <xf numFmtId="0" fontId="110" fillId="0" borderId="0" xfId="61" applyFont="1" applyAlignment="1">
      <alignment horizontal="center"/>
      <protection/>
    </xf>
    <xf numFmtId="0" fontId="0" fillId="0" borderId="0" xfId="61" applyAlignment="1">
      <alignment horizontal="center"/>
      <protection/>
    </xf>
    <xf numFmtId="0" fontId="118" fillId="0" borderId="0" xfId="61" applyFont="1" applyAlignment="1">
      <alignment horizontal="left" vertical="center"/>
      <protection/>
    </xf>
    <xf numFmtId="0" fontId="118" fillId="0" borderId="0" xfId="61" applyFont="1" applyAlignment="1">
      <alignment vertical="center"/>
      <protection/>
    </xf>
    <xf numFmtId="0" fontId="2" fillId="0" borderId="0" xfId="60" applyFont="1">
      <alignment/>
      <protection/>
    </xf>
    <xf numFmtId="0" fontId="2" fillId="0" borderId="0" xfId="60" applyFont="1" applyAlignment="1">
      <alignment horizontal="center"/>
      <protection/>
    </xf>
    <xf numFmtId="0" fontId="112" fillId="33" borderId="0" xfId="0" applyFont="1" applyFill="1" applyAlignment="1">
      <alignment horizontal="center"/>
    </xf>
    <xf numFmtId="2" fontId="0" fillId="0" borderId="0" xfId="0" applyNumberFormat="1" applyFont="1" applyBorder="1" applyAlignment="1">
      <alignment horizontal="left" wrapText="1"/>
    </xf>
    <xf numFmtId="173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" fontId="0" fillId="0" borderId="24" xfId="0" applyNumberForma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3" borderId="11" xfId="61" applyFont="1" applyFill="1" applyBorder="1">
      <alignment/>
      <protection/>
    </xf>
    <xf numFmtId="0" fontId="118" fillId="0" borderId="10" xfId="0" applyFont="1" applyBorder="1" applyAlignment="1">
      <alignment horizontal="left" vertical="center" wrapText="1"/>
    </xf>
    <xf numFmtId="0" fontId="118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135" fillId="0" borderId="11" xfId="0" applyFont="1" applyBorder="1" applyAlignment="1">
      <alignment vertical="center" wrapText="1"/>
    </xf>
    <xf numFmtId="0" fontId="136" fillId="0" borderId="11" xfId="0" applyFont="1" applyBorder="1" applyAlignment="1">
      <alignment wrapText="1"/>
    </xf>
    <xf numFmtId="0" fontId="2" fillId="0" borderId="11" xfId="62" applyFont="1" applyBorder="1" applyAlignment="1">
      <alignment horizontal="center" vertical="center"/>
      <protection/>
    </xf>
    <xf numFmtId="0" fontId="0" fillId="0" borderId="0" xfId="61" applyFont="1" applyAlignment="1">
      <alignment horizontal="center"/>
      <protection/>
    </xf>
    <xf numFmtId="0" fontId="2" fillId="0" borderId="0" xfId="58" applyFont="1" applyAlignment="1">
      <alignment horizontal="right"/>
      <protection/>
    </xf>
    <xf numFmtId="0" fontId="41" fillId="33" borderId="0" xfId="0" applyFont="1" applyFill="1" applyAlignment="1">
      <alignment/>
    </xf>
    <xf numFmtId="0" fontId="2" fillId="0" borderId="0" xfId="62" applyFont="1" applyAlignment="1">
      <alignment vertical="top" wrapText="1"/>
      <protection/>
    </xf>
    <xf numFmtId="0" fontId="2" fillId="0" borderId="0" xfId="62" applyFont="1" applyAlignment="1">
      <alignment horizontal="right"/>
      <protection/>
    </xf>
    <xf numFmtId="0" fontId="0" fillId="0" borderId="21" xfId="0" applyFont="1" applyFill="1" applyBorder="1" applyAlignment="1">
      <alignment/>
    </xf>
    <xf numFmtId="9" fontId="0" fillId="0" borderId="21" xfId="66" applyFont="1" applyFill="1" applyBorder="1" applyAlignment="1">
      <alignment/>
    </xf>
    <xf numFmtId="9" fontId="0" fillId="0" borderId="0" xfId="66" applyFont="1" applyAlignment="1">
      <alignment/>
    </xf>
    <xf numFmtId="2" fontId="0" fillId="0" borderId="0" xfId="0" applyNumberFormat="1" applyFont="1" applyBorder="1" applyAlignment="1">
      <alignment/>
    </xf>
    <xf numFmtId="9" fontId="0" fillId="0" borderId="0" xfId="66" applyFont="1" applyAlignment="1">
      <alignment/>
    </xf>
    <xf numFmtId="2" fontId="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47" fillId="0" borderId="0" xfId="0" applyFont="1" applyAlignment="1">
      <alignment horizontal="center" vertical="center" wrapText="1"/>
    </xf>
    <xf numFmtId="2" fontId="0" fillId="0" borderId="14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6" fillId="0" borderId="11" xfId="0" applyFont="1" applyBorder="1" applyAlignment="1" quotePrefix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 quotePrefix="1">
      <alignment horizontal="center" vertical="top" wrapText="1"/>
    </xf>
    <xf numFmtId="0" fontId="16" fillId="0" borderId="15" xfId="0" applyFont="1" applyBorder="1" applyAlignment="1" quotePrefix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6" fillId="0" borderId="22" xfId="0" applyFont="1" applyBorder="1" applyAlignment="1" quotePrefix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wrapText="1"/>
    </xf>
    <xf numFmtId="0" fontId="14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29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22" fillId="0" borderId="0" xfId="0" applyFont="1" applyAlignment="1">
      <alignment horizontal="left"/>
    </xf>
    <xf numFmtId="0" fontId="2" fillId="0" borderId="0" xfId="61" applyFont="1" applyBorder="1" applyAlignment="1">
      <alignment horizontal="left" vertical="center"/>
      <protection/>
    </xf>
    <xf numFmtId="0" fontId="15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12" fillId="0" borderId="19" xfId="0" applyFont="1" applyBorder="1" applyAlignment="1">
      <alignment horizontal="center"/>
    </xf>
    <xf numFmtId="0" fontId="6" fillId="0" borderId="0" xfId="61" applyFont="1" applyAlignment="1">
      <alignment horizontal="center"/>
      <protection/>
    </xf>
    <xf numFmtId="0" fontId="10" fillId="0" borderId="0" xfId="61" applyFont="1" applyAlignment="1">
      <alignment horizontal="center"/>
      <protection/>
    </xf>
    <xf numFmtId="0" fontId="5" fillId="0" borderId="0" xfId="61" applyFont="1" applyAlignment="1">
      <alignment horizontal="center"/>
      <protection/>
    </xf>
    <xf numFmtId="0" fontId="14" fillId="0" borderId="11" xfId="63" applyFont="1" applyBorder="1" applyAlignment="1">
      <alignment horizontal="center" vertical="center" wrapText="1"/>
      <protection/>
    </xf>
    <xf numFmtId="0" fontId="25" fillId="0" borderId="0" xfId="61" applyFont="1" applyAlignment="1">
      <alignment horizontal="center"/>
      <protection/>
    </xf>
    <xf numFmtId="0" fontId="30" fillId="0" borderId="0" xfId="61" applyFont="1" applyAlignment="1">
      <alignment horizontal="center"/>
      <protection/>
    </xf>
    <xf numFmtId="0" fontId="16" fillId="0" borderId="19" xfId="63" applyFont="1" applyBorder="1" applyAlignment="1">
      <alignment horizontal="right"/>
      <protection/>
    </xf>
    <xf numFmtId="0" fontId="14" fillId="0" borderId="11" xfId="63" applyFont="1" applyBorder="1" applyAlignment="1">
      <alignment horizontal="center" vertical="center"/>
      <protection/>
    </xf>
    <xf numFmtId="0" fontId="2" fillId="0" borderId="0" xfId="63" applyFont="1" applyAlignment="1">
      <alignment horizontal="left"/>
      <protection/>
    </xf>
    <xf numFmtId="0" fontId="14" fillId="0" borderId="0" xfId="61" applyFont="1" applyAlignment="1">
      <alignment horizontal="center" vertical="top" wrapText="1"/>
      <protection/>
    </xf>
    <xf numFmtId="0" fontId="12" fillId="0" borderId="0" xfId="63" applyFont="1" applyAlignment="1">
      <alignment horizontal="left"/>
      <protection/>
    </xf>
    <xf numFmtId="0" fontId="6" fillId="0" borderId="11" xfId="63" applyFont="1" applyBorder="1" applyAlignment="1">
      <alignment horizontal="center" vertical="top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2" fillId="0" borderId="0" xfId="60" applyFont="1" applyAlignment="1">
      <alignment horizontal="center" vertical="top" wrapText="1"/>
      <protection/>
    </xf>
    <xf numFmtId="0" fontId="2" fillId="0" borderId="0" xfId="60" applyFont="1" applyAlignment="1">
      <alignment horizontal="center" vertical="top"/>
      <protection/>
    </xf>
    <xf numFmtId="0" fontId="2" fillId="0" borderId="0" xfId="60" applyFont="1" applyAlignment="1">
      <alignment horizontal="center"/>
      <protection/>
    </xf>
    <xf numFmtId="0" fontId="118" fillId="0" borderId="0" xfId="61" applyFont="1" applyAlignment="1">
      <alignment horizontal="left" vertical="center"/>
      <protection/>
    </xf>
    <xf numFmtId="0" fontId="51" fillId="0" borderId="0" xfId="61" applyFont="1" applyAlignment="1">
      <alignment horizontal="left" vertical="center" wrapText="1"/>
      <protection/>
    </xf>
    <xf numFmtId="0" fontId="118" fillId="0" borderId="0" xfId="61" applyFont="1" applyAlignment="1">
      <alignment horizontal="left" vertical="center" wrapText="1"/>
      <protection/>
    </xf>
    <xf numFmtId="0" fontId="16" fillId="0" borderId="19" xfId="61" applyFont="1" applyBorder="1" applyAlignment="1">
      <alignment horizontal="right"/>
      <protection/>
    </xf>
    <xf numFmtId="0" fontId="2" fillId="0" borderId="11" xfId="61" applyFont="1" applyBorder="1" applyAlignment="1">
      <alignment horizontal="center" vertical="center" wrapText="1"/>
      <protection/>
    </xf>
    <xf numFmtId="0" fontId="2" fillId="33" borderId="11" xfId="61" applyFont="1" applyFill="1" applyBorder="1" applyAlignment="1">
      <alignment horizontal="center" vertical="center" wrapText="1"/>
      <protection/>
    </xf>
    <xf numFmtId="0" fontId="133" fillId="33" borderId="11" xfId="61" applyFont="1" applyFill="1" applyBorder="1" applyAlignment="1">
      <alignment horizontal="center" vertical="center" wrapText="1"/>
      <protection/>
    </xf>
    <xf numFmtId="0" fontId="31" fillId="0" borderId="0" xfId="61" applyFont="1" applyAlignment="1">
      <alignment horizontal="center"/>
      <protection/>
    </xf>
    <xf numFmtId="0" fontId="32" fillId="0" borderId="0" xfId="61" applyFont="1" applyAlignment="1">
      <alignment horizontal="center"/>
      <protection/>
    </xf>
    <xf numFmtId="0" fontId="31" fillId="0" borderId="0" xfId="61" applyFont="1" applyAlignment="1">
      <alignment horizontal="center" wrapText="1"/>
      <protection/>
    </xf>
    <xf numFmtId="0" fontId="34" fillId="0" borderId="11" xfId="61" applyFont="1" applyBorder="1" applyAlignment="1">
      <alignment horizontal="left"/>
      <protection/>
    </xf>
    <xf numFmtId="0" fontId="13" fillId="0" borderId="0" xfId="61" applyFont="1" applyAlignment="1">
      <alignment horizontal="center"/>
      <protection/>
    </xf>
    <xf numFmtId="0" fontId="2" fillId="0" borderId="0" xfId="57" applyFont="1" applyAlignment="1">
      <alignment horizontal="left"/>
      <protection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16" fillId="0" borderId="19" xfId="0" applyFont="1" applyBorder="1" applyAlignment="1">
      <alignment horizontal="right"/>
    </xf>
    <xf numFmtId="0" fontId="2" fillId="0" borderId="0" xfId="57" applyFont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16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3" fillId="0" borderId="0" xfId="0" applyFont="1" applyFill="1" applyAlignment="1">
      <alignment horizontal="right"/>
    </xf>
    <xf numFmtId="0" fontId="2" fillId="0" borderId="22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/>
    </xf>
    <xf numFmtId="0" fontId="4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4" fillId="0" borderId="2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25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2" fillId="0" borderId="0" xfId="0" applyFont="1" applyAlignment="1">
      <alignment horizontal="left" vertical="center"/>
    </xf>
    <xf numFmtId="0" fontId="5" fillId="0" borderId="0" xfId="57" applyFont="1" applyAlignment="1">
      <alignment horizontal="center"/>
      <protection/>
    </xf>
    <xf numFmtId="0" fontId="2" fillId="0" borderId="11" xfId="57" applyFont="1" applyBorder="1" applyAlignment="1">
      <alignment horizontal="center" vertical="center" wrapText="1"/>
      <protection/>
    </xf>
    <xf numFmtId="0" fontId="6" fillId="0" borderId="0" xfId="57" applyFont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7" fillId="0" borderId="0" xfId="57" applyFont="1" applyBorder="1" applyAlignment="1">
      <alignment horizontal="left"/>
      <protection/>
    </xf>
    <xf numFmtId="0" fontId="2" fillId="33" borderId="10" xfId="57" applyFont="1" applyFill="1" applyBorder="1" applyAlignment="1">
      <alignment horizontal="center" vertical="center" wrapText="1"/>
      <protection/>
    </xf>
    <xf numFmtId="0" fontId="2" fillId="33" borderId="21" xfId="57" applyFont="1" applyFill="1" applyBorder="1" applyAlignment="1">
      <alignment horizontal="center" vertical="center" wrapText="1"/>
      <protection/>
    </xf>
    <xf numFmtId="0" fontId="2" fillId="33" borderId="12" xfId="57" applyFont="1" applyFill="1" applyBorder="1" applyAlignment="1">
      <alignment horizontal="center" vertical="center" wrapText="1"/>
      <protection/>
    </xf>
    <xf numFmtId="2" fontId="11" fillId="0" borderId="10" xfId="57" applyNumberFormat="1" applyFont="1" applyBorder="1" applyAlignment="1">
      <alignment horizontal="center" vertical="center"/>
      <protection/>
    </xf>
    <xf numFmtId="2" fontId="11" fillId="0" borderId="21" xfId="57" applyNumberFormat="1" applyFont="1" applyBorder="1" applyAlignment="1">
      <alignment horizontal="center" vertical="center"/>
      <protection/>
    </xf>
    <xf numFmtId="2" fontId="11" fillId="0" borderId="12" xfId="57" applyNumberFormat="1" applyFont="1" applyBorder="1" applyAlignment="1">
      <alignment horizontal="center" vertical="center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21" xfId="57" applyFont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top" wrapText="1"/>
    </xf>
    <xf numFmtId="2" fontId="11" fillId="33" borderId="10" xfId="57" applyNumberFormat="1" applyFont="1" applyFill="1" applyBorder="1" applyAlignment="1">
      <alignment horizontal="center" vertical="center"/>
      <protection/>
    </xf>
    <xf numFmtId="2" fontId="11" fillId="33" borderId="21" xfId="57" applyNumberFormat="1" applyFont="1" applyFill="1" applyBorder="1" applyAlignment="1">
      <alignment horizontal="center" vertical="center"/>
      <protection/>
    </xf>
    <xf numFmtId="2" fontId="11" fillId="33" borderId="12" xfId="57" applyNumberFormat="1" applyFont="1" applyFill="1" applyBorder="1" applyAlignment="1">
      <alignment horizontal="center" vertical="center"/>
      <protection/>
    </xf>
    <xf numFmtId="2" fontId="6" fillId="0" borderId="29" xfId="0" applyNumberFormat="1" applyFont="1" applyBorder="1" applyAlignment="1">
      <alignment horizontal="center" vertical="top"/>
    </xf>
    <xf numFmtId="2" fontId="6" fillId="0" borderId="25" xfId="0" applyNumberFormat="1" applyFont="1" applyBorder="1" applyAlignment="1">
      <alignment horizontal="center" vertical="top"/>
    </xf>
    <xf numFmtId="2" fontId="6" fillId="0" borderId="26" xfId="0" applyNumberFormat="1" applyFont="1" applyBorder="1" applyAlignment="1">
      <alignment horizontal="center" vertical="top"/>
    </xf>
    <xf numFmtId="2" fontId="6" fillId="0" borderId="20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28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19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2" fontId="0" fillId="0" borderId="10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21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right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23" fillId="0" borderId="10" xfId="0" applyFont="1" applyBorder="1" applyAlignment="1">
      <alignment horizontal="center" vertical="center" wrapText="1"/>
    </xf>
    <xf numFmtId="0" fontId="123" fillId="0" borderId="21" xfId="0" applyFont="1" applyBorder="1" applyAlignment="1">
      <alignment horizontal="center" vertical="center" wrapText="1"/>
    </xf>
    <xf numFmtId="0" fontId="123" fillId="0" borderId="12" xfId="0" applyFont="1" applyBorder="1" applyAlignment="1">
      <alignment horizontal="center" vertical="center" wrapText="1"/>
    </xf>
    <xf numFmtId="0" fontId="116" fillId="0" borderId="10" xfId="0" applyFont="1" applyBorder="1" applyAlignment="1">
      <alignment horizontal="center" vertical="center" wrapText="1"/>
    </xf>
    <xf numFmtId="0" fontId="116" fillId="0" borderId="21" xfId="0" applyFont="1" applyBorder="1" applyAlignment="1">
      <alignment horizontal="center" vertical="center" wrapText="1"/>
    </xf>
    <xf numFmtId="0" fontId="116" fillId="0" borderId="12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/>
    </xf>
    <xf numFmtId="0" fontId="123" fillId="0" borderId="14" xfId="0" applyFont="1" applyBorder="1" applyAlignment="1">
      <alignment horizontal="center" vertical="center" wrapText="1"/>
    </xf>
    <xf numFmtId="0" fontId="123" fillId="0" borderId="22" xfId="0" applyFont="1" applyBorder="1" applyAlignment="1">
      <alignment horizontal="center" vertical="center" wrapText="1"/>
    </xf>
    <xf numFmtId="0" fontId="123" fillId="0" borderId="15" xfId="0" applyFont="1" applyBorder="1" applyAlignment="1">
      <alignment horizontal="center" vertical="center" wrapText="1"/>
    </xf>
    <xf numFmtId="0" fontId="121" fillId="0" borderId="0" xfId="0" applyFont="1" applyBorder="1" applyAlignment="1">
      <alignment horizontal="center" vertical="top"/>
    </xf>
    <xf numFmtId="0" fontId="39" fillId="0" borderId="0" xfId="0" applyFont="1" applyAlignment="1">
      <alignment horizontal="center"/>
    </xf>
    <xf numFmtId="0" fontId="34" fillId="0" borderId="14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42" fillId="0" borderId="0" xfId="57" applyFont="1" applyAlignment="1">
      <alignment horizontal="center" vertical="top" wrapText="1"/>
      <protection/>
    </xf>
    <xf numFmtId="0" fontId="34" fillId="0" borderId="1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5" fillId="0" borderId="0" xfId="57" applyFont="1" applyAlignment="1">
      <alignment/>
      <protection/>
    </xf>
    <xf numFmtId="0" fontId="2" fillId="33" borderId="10" xfId="57" applyFont="1" applyFill="1" applyBorder="1" applyAlignment="1" quotePrefix="1">
      <alignment horizontal="center" vertical="center" wrapText="1"/>
      <protection/>
    </xf>
    <xf numFmtId="0" fontId="2" fillId="33" borderId="12" xfId="57" applyFont="1" applyFill="1" applyBorder="1" applyAlignment="1" quotePrefix="1">
      <alignment horizontal="center" vertical="center" wrapText="1"/>
      <protection/>
    </xf>
    <xf numFmtId="0" fontId="2" fillId="33" borderId="11" xfId="57" applyFont="1" applyFill="1" applyBorder="1" applyAlignment="1" quotePrefix="1">
      <alignment horizontal="center" vertical="center" wrapText="1"/>
      <protection/>
    </xf>
    <xf numFmtId="0" fontId="2" fillId="0" borderId="11" xfId="57" applyFont="1" applyBorder="1" applyAlignment="1">
      <alignment horizontal="left" vertical="center"/>
      <protection/>
    </xf>
    <xf numFmtId="0" fontId="0" fillId="0" borderId="2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35" fillId="0" borderId="0" xfId="0" applyFont="1" applyBorder="1" applyAlignment="1">
      <alignment horizontal="center"/>
    </xf>
    <xf numFmtId="0" fontId="110" fillId="0" borderId="11" xfId="0" applyFont="1" applyBorder="1" applyAlignment="1">
      <alignment horizontal="center" vertical="center" wrapText="1"/>
    </xf>
    <xf numFmtId="0" fontId="110" fillId="33" borderId="14" xfId="0" applyFont="1" applyFill="1" applyBorder="1" applyAlignment="1">
      <alignment horizontal="center" vertical="center" wrapText="1"/>
    </xf>
    <xf numFmtId="0" fontId="110" fillId="33" borderId="22" xfId="0" applyFont="1" applyFill="1" applyBorder="1" applyAlignment="1">
      <alignment horizontal="center" vertical="center" wrapText="1"/>
    </xf>
    <xf numFmtId="0" fontId="110" fillId="33" borderId="15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35" fillId="0" borderId="10" xfId="0" applyFont="1" applyBorder="1" applyAlignment="1" quotePrefix="1">
      <alignment horizontal="center" vertical="center" wrapText="1"/>
    </xf>
    <xf numFmtId="0" fontId="35" fillId="0" borderId="21" xfId="0" applyFont="1" applyBorder="1" applyAlignment="1" quotePrefix="1">
      <alignment horizontal="center" vertical="center" wrapText="1"/>
    </xf>
    <xf numFmtId="0" fontId="35" fillId="0" borderId="12" xfId="0" applyFont="1" applyBorder="1" applyAlignment="1" quotePrefix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2" fillId="0" borderId="0" xfId="61" applyFont="1" applyAlignment="1">
      <alignment horizontal="center" vertical="top" wrapText="1"/>
      <protection/>
    </xf>
    <xf numFmtId="0" fontId="2" fillId="0" borderId="14" xfId="61" applyFont="1" applyBorder="1" applyAlignment="1">
      <alignment horizontal="center" vertical="center" wrapText="1"/>
      <protection/>
    </xf>
    <xf numFmtId="0" fontId="2" fillId="0" borderId="15" xfId="6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61" applyFont="1" applyAlignment="1">
      <alignment horizontal="center"/>
      <protection/>
    </xf>
    <xf numFmtId="0" fontId="2" fillId="0" borderId="11" xfId="61" applyFont="1" applyBorder="1" applyAlignment="1">
      <alignment horizontal="center" vertical="center"/>
      <protection/>
    </xf>
    <xf numFmtId="0" fontId="14" fillId="0" borderId="0" xfId="0" applyFont="1" applyAlignment="1">
      <alignment horizontal="center" vertical="top" wrapText="1"/>
    </xf>
    <xf numFmtId="0" fontId="0" fillId="0" borderId="0" xfId="61" applyFont="1" applyAlignment="1">
      <alignment horizontal="center"/>
      <protection/>
    </xf>
    <xf numFmtId="0" fontId="0" fillId="0" borderId="0" xfId="61" applyAlignment="1">
      <alignment horizontal="left"/>
      <protection/>
    </xf>
    <xf numFmtId="0" fontId="41" fillId="0" borderId="0" xfId="61" applyFont="1" applyAlignment="1">
      <alignment horizontal="center" vertical="top" wrapText="1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2" xfId="61" applyFont="1" applyBorder="1" applyAlignment="1">
      <alignment horizontal="center" vertical="center" wrapText="1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6" fillId="0" borderId="30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/>
      <protection/>
    </xf>
    <xf numFmtId="0" fontId="2" fillId="0" borderId="22" xfId="61" applyFont="1" applyBorder="1" applyAlignment="1">
      <alignment horizontal="center" vertical="center" wrapText="1"/>
      <protection/>
    </xf>
    <xf numFmtId="0" fontId="43" fillId="0" borderId="29" xfId="61" applyFont="1" applyBorder="1" applyAlignment="1">
      <alignment horizontal="center" vertical="center"/>
      <protection/>
    </xf>
    <xf numFmtId="0" fontId="43" fillId="0" borderId="25" xfId="61" applyFont="1" applyBorder="1" applyAlignment="1">
      <alignment horizontal="center" vertical="center"/>
      <protection/>
    </xf>
    <xf numFmtId="0" fontId="43" fillId="0" borderId="26" xfId="61" applyFont="1" applyBorder="1" applyAlignment="1">
      <alignment horizontal="center" vertical="center"/>
      <protection/>
    </xf>
    <xf numFmtId="0" fontId="43" fillId="0" borderId="24" xfId="61" applyFont="1" applyBorder="1" applyAlignment="1">
      <alignment horizontal="center" vertical="center"/>
      <protection/>
    </xf>
    <xf numFmtId="0" fontId="43" fillId="0" borderId="0" xfId="61" applyFont="1" applyBorder="1" applyAlignment="1">
      <alignment horizontal="center" vertical="center"/>
      <protection/>
    </xf>
    <xf numFmtId="0" fontId="43" fillId="0" borderId="27" xfId="61" applyFont="1" applyBorder="1" applyAlignment="1">
      <alignment horizontal="center" vertical="center"/>
      <protection/>
    </xf>
    <xf numFmtId="0" fontId="43" fillId="0" borderId="20" xfId="61" applyFont="1" applyBorder="1" applyAlignment="1">
      <alignment horizontal="center" vertical="center"/>
      <protection/>
    </xf>
    <xf numFmtId="0" fontId="43" fillId="0" borderId="19" xfId="61" applyFont="1" applyBorder="1" applyAlignment="1">
      <alignment horizontal="center" vertical="center"/>
      <protection/>
    </xf>
    <xf numFmtId="0" fontId="43" fillId="0" borderId="28" xfId="61" applyFont="1" applyBorder="1" applyAlignment="1">
      <alignment horizontal="center" vertical="center"/>
      <protection/>
    </xf>
    <xf numFmtId="0" fontId="10" fillId="0" borderId="2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0" xfId="57" applyFont="1" applyAlignment="1">
      <alignment horizontal="center"/>
      <protection/>
    </xf>
    <xf numFmtId="0" fontId="16" fillId="0" borderId="0" xfId="57" applyFont="1" applyAlignment="1">
      <alignment horizontal="right"/>
      <protection/>
    </xf>
    <xf numFmtId="0" fontId="2" fillId="33" borderId="14" xfId="57" applyFont="1" applyFill="1" applyBorder="1" applyAlignment="1" quotePrefix="1">
      <alignment horizontal="center" vertical="center" wrapText="1"/>
      <protection/>
    </xf>
    <xf numFmtId="0" fontId="2" fillId="33" borderId="22" xfId="57" applyFont="1" applyFill="1" applyBorder="1" applyAlignment="1" quotePrefix="1">
      <alignment horizontal="center" vertical="center" wrapText="1"/>
      <protection/>
    </xf>
    <xf numFmtId="0" fontId="2" fillId="33" borderId="15" xfId="57" applyFont="1" applyFill="1" applyBorder="1" applyAlignment="1" quotePrefix="1">
      <alignment horizontal="center" vertical="center" wrapText="1"/>
      <protection/>
    </xf>
    <xf numFmtId="0" fontId="2" fillId="33" borderId="29" xfId="57" applyFont="1" applyFill="1" applyBorder="1" applyAlignment="1">
      <alignment horizontal="center" vertical="center" wrapText="1"/>
      <protection/>
    </xf>
    <xf numFmtId="0" fontId="2" fillId="33" borderId="25" xfId="57" applyFont="1" applyFill="1" applyBorder="1" applyAlignment="1">
      <alignment horizontal="center" vertical="center" wrapText="1"/>
      <protection/>
    </xf>
    <xf numFmtId="0" fontId="2" fillId="33" borderId="26" xfId="57" applyFont="1" applyFill="1" applyBorder="1" applyAlignment="1">
      <alignment horizontal="center" vertical="center" wrapText="1"/>
      <protection/>
    </xf>
    <xf numFmtId="0" fontId="14" fillId="0" borderId="0" xfId="57" applyFont="1" applyAlignment="1">
      <alignment horizontal="center"/>
      <protection/>
    </xf>
    <xf numFmtId="0" fontId="2" fillId="0" borderId="11" xfId="57" applyFont="1" applyBorder="1" applyAlignment="1">
      <alignment horizontal="left"/>
      <protection/>
    </xf>
    <xf numFmtId="0" fontId="31" fillId="0" borderId="0" xfId="0" applyFont="1" applyAlignment="1">
      <alignment horizontal="right"/>
    </xf>
    <xf numFmtId="0" fontId="137" fillId="0" borderId="29" xfId="0" applyFont="1" applyBorder="1" applyAlignment="1">
      <alignment horizontal="center" vertical="center" wrapText="1"/>
    </xf>
    <xf numFmtId="0" fontId="137" fillId="0" borderId="25" xfId="0" applyFont="1" applyBorder="1" applyAlignment="1">
      <alignment horizontal="center" vertical="center" wrapText="1"/>
    </xf>
    <xf numFmtId="0" fontId="137" fillId="0" borderId="26" xfId="0" applyFont="1" applyBorder="1" applyAlignment="1">
      <alignment horizontal="center" vertical="center" wrapText="1"/>
    </xf>
    <xf numFmtId="0" fontId="137" fillId="0" borderId="24" xfId="0" applyFont="1" applyBorder="1" applyAlignment="1">
      <alignment horizontal="center" vertical="center" wrapText="1"/>
    </xf>
    <xf numFmtId="0" fontId="137" fillId="0" borderId="0" xfId="0" applyFont="1" applyBorder="1" applyAlignment="1">
      <alignment horizontal="center" vertical="center" wrapText="1"/>
    </xf>
    <xf numFmtId="0" fontId="137" fillId="0" borderId="27" xfId="0" applyFont="1" applyBorder="1" applyAlignment="1">
      <alignment horizontal="center" vertical="center" wrapText="1"/>
    </xf>
    <xf numFmtId="0" fontId="137" fillId="0" borderId="20" xfId="0" applyFont="1" applyBorder="1" applyAlignment="1">
      <alignment horizontal="center" vertical="center" wrapText="1"/>
    </xf>
    <xf numFmtId="0" fontId="137" fillId="0" borderId="19" xfId="0" applyFont="1" applyBorder="1" applyAlignment="1">
      <alignment horizontal="center" vertical="center" wrapText="1"/>
    </xf>
    <xf numFmtId="0" fontId="137" fillId="0" borderId="28" xfId="0" applyFont="1" applyBorder="1" applyAlignment="1">
      <alignment horizontal="center" vertical="center" wrapText="1"/>
    </xf>
    <xf numFmtId="0" fontId="123" fillId="0" borderId="11" xfId="0" applyFont="1" applyBorder="1" applyAlignment="1">
      <alignment horizontal="center" vertical="center" wrapText="1"/>
    </xf>
    <xf numFmtId="0" fontId="114" fillId="0" borderId="0" xfId="0" applyFont="1" applyBorder="1" applyAlignment="1">
      <alignment horizontal="center" vertical="top"/>
    </xf>
    <xf numFmtId="0" fontId="123" fillId="0" borderId="29" xfId="0" applyFont="1" applyBorder="1" applyAlignment="1">
      <alignment horizontal="center" vertical="center" wrapText="1"/>
    </xf>
    <xf numFmtId="0" fontId="123" fillId="0" borderId="25" xfId="0" applyFont="1" applyBorder="1" applyAlignment="1">
      <alignment horizontal="center" vertical="center" wrapText="1"/>
    </xf>
    <xf numFmtId="0" fontId="123" fillId="0" borderId="26" xfId="0" applyFont="1" applyBorder="1" applyAlignment="1">
      <alignment horizontal="center" vertical="center" wrapText="1"/>
    </xf>
    <xf numFmtId="0" fontId="123" fillId="0" borderId="24" xfId="0" applyFont="1" applyBorder="1" applyAlignment="1">
      <alignment horizontal="center" vertical="center" wrapText="1"/>
    </xf>
    <xf numFmtId="0" fontId="123" fillId="0" borderId="0" xfId="0" applyFont="1" applyBorder="1" applyAlignment="1">
      <alignment horizontal="center" vertical="center" wrapText="1"/>
    </xf>
    <xf numFmtId="0" fontId="123" fillId="0" borderId="27" xfId="0" applyFont="1" applyBorder="1" applyAlignment="1">
      <alignment horizontal="center" vertical="center" wrapText="1"/>
    </xf>
    <xf numFmtId="0" fontId="138" fillId="0" borderId="0" xfId="0" applyFont="1" applyBorder="1" applyAlignment="1">
      <alignment horizontal="left" vertical="center" wrapText="1"/>
    </xf>
    <xf numFmtId="0" fontId="2" fillId="0" borderId="19" xfId="57" applyFont="1" applyBorder="1" applyAlignment="1">
      <alignment horizontal="center"/>
      <protection/>
    </xf>
    <xf numFmtId="0" fontId="118" fillId="0" borderId="10" xfId="0" applyFont="1" applyBorder="1" applyAlignment="1">
      <alignment horizontal="left" vertical="center" wrapText="1"/>
    </xf>
    <xf numFmtId="0" fontId="118" fillId="0" borderId="21" xfId="0" applyFont="1" applyBorder="1" applyAlignment="1">
      <alignment horizontal="left" vertical="center" wrapText="1"/>
    </xf>
    <xf numFmtId="0" fontId="118" fillId="0" borderId="11" xfId="0" applyFont="1" applyBorder="1" applyAlignment="1">
      <alignment horizontal="left" vertical="center" wrapText="1"/>
    </xf>
    <xf numFmtId="0" fontId="126" fillId="0" borderId="0" xfId="0" applyFont="1" applyAlignment="1">
      <alignment horizontal="right"/>
    </xf>
    <xf numFmtId="0" fontId="121" fillId="0" borderId="0" xfId="0" applyFont="1" applyAlignment="1">
      <alignment horizontal="center" vertical="center"/>
    </xf>
    <xf numFmtId="0" fontId="121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41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41" fillId="33" borderId="0" xfId="0" applyFont="1" applyFill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/>
    </xf>
    <xf numFmtId="0" fontId="0" fillId="33" borderId="14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6" fillId="33" borderId="29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10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21" fillId="0" borderId="14" xfId="57" applyFont="1" applyBorder="1" applyAlignment="1">
      <alignment horizontal="center" vertical="center" wrapText="1"/>
      <protection/>
    </xf>
    <xf numFmtId="0" fontId="21" fillId="0" borderId="22" xfId="57" applyFont="1" applyBorder="1" applyAlignment="1">
      <alignment horizontal="center" vertical="center" wrapText="1"/>
      <protection/>
    </xf>
    <xf numFmtId="0" fontId="21" fillId="0" borderId="15" xfId="57" applyFont="1" applyBorder="1" applyAlignment="1">
      <alignment horizontal="center" vertical="center" wrapText="1"/>
      <protection/>
    </xf>
    <xf numFmtId="0" fontId="28" fillId="0" borderId="0" xfId="57" applyFont="1" applyAlignment="1">
      <alignment horizontal="center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12" xfId="57" applyFont="1" applyBorder="1" applyAlignment="1">
      <alignment horizontal="center" vertical="center" wrapText="1"/>
      <protection/>
    </xf>
    <xf numFmtId="0" fontId="21" fillId="0" borderId="26" xfId="57" applyFont="1" applyBorder="1" applyAlignment="1">
      <alignment horizontal="center" vertical="center" wrapText="1"/>
      <protection/>
    </xf>
    <xf numFmtId="0" fontId="21" fillId="0" borderId="11" xfId="57" applyFont="1" applyBorder="1" applyAlignment="1">
      <alignment horizontal="center" vertical="center" wrapText="1"/>
      <protection/>
    </xf>
    <xf numFmtId="0" fontId="17" fillId="0" borderId="11" xfId="57" applyFont="1" applyBorder="1" applyAlignment="1">
      <alignment horizontal="center" vertical="center" wrapText="1"/>
      <protection/>
    </xf>
    <xf numFmtId="0" fontId="19" fillId="0" borderId="11" xfId="57" applyFont="1" applyBorder="1" applyAlignment="1">
      <alignment horizontal="center" vertical="center" wrapText="1"/>
      <protection/>
    </xf>
    <xf numFmtId="0" fontId="48" fillId="0" borderId="0" xfId="57" applyFont="1" applyAlignment="1">
      <alignment horizontal="center"/>
      <protection/>
    </xf>
    <xf numFmtId="0" fontId="19" fillId="0" borderId="10" xfId="57" applyFont="1" applyBorder="1" applyAlignment="1">
      <alignment horizontal="center" vertical="center" wrapText="1"/>
      <protection/>
    </xf>
    <xf numFmtId="0" fontId="19" fillId="0" borderId="12" xfId="57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17" fillId="0" borderId="14" xfId="57" applyFont="1" applyBorder="1" applyAlignment="1">
      <alignment horizontal="center" vertical="center" wrapText="1"/>
      <protection/>
    </xf>
    <xf numFmtId="0" fontId="17" fillId="0" borderId="22" xfId="57" applyFont="1" applyBorder="1" applyAlignment="1">
      <alignment horizontal="center" vertical="center" wrapText="1"/>
      <protection/>
    </xf>
    <xf numFmtId="0" fontId="19" fillId="0" borderId="14" xfId="57" applyFont="1" applyBorder="1" applyAlignment="1">
      <alignment horizontal="center" vertical="center" wrapText="1"/>
      <protection/>
    </xf>
    <xf numFmtId="0" fontId="19" fillId="0" borderId="22" xfId="57" applyFont="1" applyBorder="1" applyAlignment="1">
      <alignment horizontal="center" vertical="center" wrapText="1"/>
      <protection/>
    </xf>
    <xf numFmtId="0" fontId="19" fillId="0" borderId="15" xfId="57" applyFont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center" vertical="top" wrapText="1"/>
    </xf>
    <xf numFmtId="0" fontId="21" fillId="0" borderId="21" xfId="57" applyFont="1" applyBorder="1" applyAlignment="1">
      <alignment horizontal="center" vertical="center" wrapText="1"/>
      <protection/>
    </xf>
    <xf numFmtId="0" fontId="21" fillId="0" borderId="29" xfId="57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left" vertical="center" wrapText="1"/>
    </xf>
    <xf numFmtId="0" fontId="22" fillId="0" borderId="0" xfId="57" applyFont="1" applyAlignment="1">
      <alignment horizontal="center"/>
      <protection/>
    </xf>
    <xf numFmtId="0" fontId="12" fillId="0" borderId="25" xfId="0" applyFont="1" applyBorder="1" applyAlignment="1">
      <alignment horizontal="left" vertical="center" wrapText="1"/>
    </xf>
    <xf numFmtId="0" fontId="21" fillId="0" borderId="24" xfId="57" applyFont="1" applyBorder="1" applyAlignment="1">
      <alignment horizontal="center" vertical="center" wrapText="1"/>
      <protection/>
    </xf>
    <xf numFmtId="0" fontId="21" fillId="0" borderId="27" xfId="57" applyFont="1" applyBorder="1" applyAlignment="1">
      <alignment horizontal="center" vertical="center" wrapText="1"/>
      <protection/>
    </xf>
    <xf numFmtId="0" fontId="4" fillId="0" borderId="0" xfId="62" applyFont="1" applyAlignment="1">
      <alignment horizontal="center"/>
      <protection/>
    </xf>
    <xf numFmtId="0" fontId="5" fillId="0" borderId="0" xfId="62" applyFont="1" applyAlignment="1">
      <alignment horizontal="center"/>
      <protection/>
    </xf>
    <xf numFmtId="0" fontId="2" fillId="33" borderId="0" xfId="0" applyFont="1" applyFill="1" applyAlignment="1">
      <alignment horizontal="left"/>
    </xf>
    <xf numFmtId="0" fontId="3" fillId="0" borderId="0" xfId="62" applyFont="1" applyAlignment="1">
      <alignment horizontal="right"/>
      <protection/>
    </xf>
    <xf numFmtId="0" fontId="16" fillId="0" borderId="14" xfId="62" applyFont="1" applyBorder="1" applyAlignment="1">
      <alignment horizontal="center" vertical="center" wrapText="1"/>
      <protection/>
    </xf>
    <xf numFmtId="0" fontId="16" fillId="0" borderId="22" xfId="62" applyFont="1" applyBorder="1" applyAlignment="1">
      <alignment horizontal="center" vertical="center" wrapText="1"/>
      <protection/>
    </xf>
    <xf numFmtId="0" fontId="16" fillId="0" borderId="15" xfId="62" applyFont="1" applyBorder="1" applyAlignment="1">
      <alignment horizontal="center" vertical="center" wrapText="1"/>
      <protection/>
    </xf>
    <xf numFmtId="0" fontId="16" fillId="0" borderId="14" xfId="62" applyFont="1" applyBorder="1" applyAlignment="1">
      <alignment horizontal="center" vertical="center"/>
      <protection/>
    </xf>
    <xf numFmtId="0" fontId="16" fillId="0" borderId="22" xfId="62" applyFont="1" applyBorder="1" applyAlignment="1">
      <alignment horizontal="center" vertical="center"/>
      <protection/>
    </xf>
    <xf numFmtId="0" fontId="16" fillId="0" borderId="15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/>
      <protection/>
    </xf>
    <xf numFmtId="0" fontId="16" fillId="0" borderId="11" xfId="62" applyFont="1" applyBorder="1" applyAlignment="1">
      <alignment horizontal="center" vertical="center" wrapText="1"/>
      <protection/>
    </xf>
    <xf numFmtId="0" fontId="16" fillId="0" borderId="11" xfId="62" applyFont="1" applyBorder="1" applyAlignment="1">
      <alignment horizontal="center" vertical="center"/>
      <protection/>
    </xf>
    <xf numFmtId="0" fontId="16" fillId="0" borderId="10" xfId="62" applyFont="1" applyBorder="1" applyAlignment="1">
      <alignment horizontal="center" vertical="center" wrapText="1"/>
      <protection/>
    </xf>
    <xf numFmtId="0" fontId="16" fillId="0" borderId="21" xfId="62" applyFont="1" applyBorder="1" applyAlignment="1">
      <alignment horizontal="center" vertical="center" wrapText="1"/>
      <protection/>
    </xf>
    <xf numFmtId="0" fontId="16" fillId="0" borderId="12" xfId="62" applyFont="1" applyBorder="1" applyAlignment="1">
      <alignment horizontal="center" vertical="center" wrapText="1"/>
      <protection/>
    </xf>
    <xf numFmtId="0" fontId="2" fillId="0" borderId="14" xfId="62" applyFont="1" applyBorder="1" applyAlignment="1">
      <alignment horizontal="center"/>
      <protection/>
    </xf>
    <xf numFmtId="0" fontId="2" fillId="0" borderId="15" xfId="62" applyFont="1" applyBorder="1" applyAlignment="1">
      <alignment horizontal="center"/>
      <protection/>
    </xf>
    <xf numFmtId="0" fontId="2" fillId="0" borderId="11" xfId="62" applyFont="1" applyBorder="1" applyAlignment="1">
      <alignment horizontal="center"/>
      <protection/>
    </xf>
    <xf numFmtId="0" fontId="7" fillId="0" borderId="14" xfId="62" applyFont="1" applyBorder="1" applyAlignment="1">
      <alignment horizontal="center" vertical="center" wrapText="1"/>
      <protection/>
    </xf>
    <xf numFmtId="0" fontId="7" fillId="0" borderId="15" xfId="62" applyFont="1" applyBorder="1" applyAlignment="1">
      <alignment horizontal="center" vertical="center" wrapText="1"/>
      <protection/>
    </xf>
    <xf numFmtId="0" fontId="16" fillId="0" borderId="0" xfId="62" applyFont="1" applyBorder="1" applyAlignment="1">
      <alignment horizontal="center"/>
      <protection/>
    </xf>
    <xf numFmtId="0" fontId="2" fillId="0" borderId="0" xfId="62" applyFont="1" applyAlignment="1">
      <alignment horizontal="left"/>
      <protection/>
    </xf>
    <xf numFmtId="0" fontId="0" fillId="0" borderId="0" xfId="62" applyAlignment="1">
      <alignment horizontal="left"/>
      <protection/>
    </xf>
    <xf numFmtId="0" fontId="2" fillId="0" borderId="0" xfId="62" applyFont="1" applyAlignment="1">
      <alignment horizontal="center" vertical="top" wrapText="1"/>
      <protection/>
    </xf>
    <xf numFmtId="0" fontId="19" fillId="0" borderId="14" xfId="59" applyFont="1" applyBorder="1" applyAlignment="1">
      <alignment horizontal="center" vertical="center"/>
      <protection/>
    </xf>
    <xf numFmtId="0" fontId="19" fillId="0" borderId="15" xfId="59" applyFont="1" applyBorder="1" applyAlignment="1">
      <alignment horizontal="center" vertical="center"/>
      <protection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3" xfId="61"/>
    <cellStyle name="Normal 3 2" xfId="62"/>
    <cellStyle name="Normal 4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styles" Target="styles.xml" /><Relationship Id="rId73" Type="http://schemas.openxmlformats.org/officeDocument/2006/relationships/sharedStrings" Target="sharedStrings.xml" /><Relationship Id="rId7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2</xdr:row>
      <xdr:rowOff>152400</xdr:rowOff>
    </xdr:from>
    <xdr:ext cx="9258300" cy="4533900"/>
    <xdr:sp>
      <xdr:nvSpPr>
        <xdr:cNvPr id="1" name="Rectangle 1"/>
        <xdr:cNvSpPr>
          <a:spLocks/>
        </xdr:cNvSpPr>
      </xdr:nvSpPr>
      <xdr:spPr>
        <a:xfrm>
          <a:off x="85725" y="476250"/>
          <a:ext cx="92583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Annual Work Plan &amp; Budget
</a:t>
          </a:r>
          <a:r>
            <a:rPr lang="en-US" cap="none" sz="5400" b="1" i="0" u="none" baseline="0"/>
            <a:t>2020-21
</a:t>
          </a:r>
          <a:r>
            <a:rPr lang="en-US" cap="none" sz="5400" b="1" i="0" u="none" baseline="0"/>
            <a:t>
</a:t>
          </a:r>
          <a:r>
            <a:rPr lang="en-US" cap="none" sz="4400" b="1" i="0" u="none" baseline="0"/>
            <a:t>State:TRIPURA.</a:t>
          </a:r>
          <a:r>
            <a:rPr lang="en-US" cap="none" sz="4400" b="1" i="0" u="none" baseline="0"/>
            <a:t>
</a:t>
          </a:r>
          <a:r>
            <a:rPr lang="en-US" cap="none" sz="4400" b="1" i="0" u="none" baseline="0"/>
            <a:t>Date of Submission:19.03.2020.</a:t>
          </a:r>
          <a:r>
            <a:rPr lang="en-US" cap="none" sz="4400" b="1" i="0" u="none" baseline="0"/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90" zoomScaleSheetLayoutView="90" zoomScalePageLayoutView="0" workbookViewId="0" topLeftCell="A1">
      <selection activeCell="P16" sqref="P16"/>
    </sheetView>
  </sheetViews>
  <sheetFormatPr defaultColWidth="9.140625" defaultRowHeight="12.75"/>
  <cols>
    <col min="15" max="15" width="12.421875" style="0" customWidth="1"/>
  </cols>
  <sheetData/>
  <sheetProtection/>
  <printOptions/>
  <pageMargins left="0.59" right="0.23" top="3.54" bottom="0.748031496062992" header="2.37" footer="0.31496062992126"/>
  <pageSetup fitToHeight="1" fitToWidth="1" horizontalDpi="600" verticalDpi="600" orientation="portrait" paperSize="9" scale="6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view="pageBreakPreview" zoomScaleSheetLayoutView="100" zoomScalePageLayoutView="0" workbookViewId="0" topLeftCell="A4">
      <selection activeCell="G22" sqref="G22"/>
    </sheetView>
  </sheetViews>
  <sheetFormatPr defaultColWidth="9.140625" defaultRowHeight="12.75"/>
  <cols>
    <col min="1" max="1" width="6.140625" style="0" customWidth="1"/>
    <col min="2" max="2" width="12.140625" style="0" customWidth="1"/>
    <col min="3" max="3" width="10.8515625" style="0" customWidth="1"/>
    <col min="4" max="13" width="10.140625" style="0" customWidth="1"/>
    <col min="14" max="14" width="11.8515625" style="0" customWidth="1"/>
  </cols>
  <sheetData>
    <row r="1" spans="4:14" ht="12.75" customHeight="1">
      <c r="D1" s="676"/>
      <c r="E1" s="676"/>
      <c r="F1" s="676"/>
      <c r="G1" s="676"/>
      <c r="H1" s="676"/>
      <c r="I1" s="676"/>
      <c r="J1" s="676"/>
      <c r="K1" s="1"/>
      <c r="M1" s="770" t="s">
        <v>85</v>
      </c>
      <c r="N1" s="770"/>
    </row>
    <row r="2" spans="1:14" ht="15">
      <c r="A2" s="772" t="s">
        <v>0</v>
      </c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</row>
    <row r="3" spans="1:14" ht="20.25">
      <c r="A3" s="701" t="s">
        <v>878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</row>
    <row r="4" ht="11.25" customHeight="1"/>
    <row r="5" spans="1:14" ht="15.75">
      <c r="A5" s="702" t="s">
        <v>885</v>
      </c>
      <c r="B5" s="702"/>
      <c r="C5" s="702"/>
      <c r="D5" s="702"/>
      <c r="E5" s="702"/>
      <c r="F5" s="702"/>
      <c r="G5" s="702"/>
      <c r="H5" s="702"/>
      <c r="I5" s="702"/>
      <c r="J5" s="702"/>
      <c r="K5" s="702"/>
      <c r="L5" s="702"/>
      <c r="M5" s="702"/>
      <c r="N5" s="702"/>
    </row>
    <row r="7" spans="1:14" ht="12.75">
      <c r="A7" s="668" t="s">
        <v>472</v>
      </c>
      <c r="B7" s="668"/>
      <c r="L7" s="771" t="s">
        <v>931</v>
      </c>
      <c r="M7" s="771"/>
      <c r="N7" s="771"/>
    </row>
    <row r="8" spans="1:14" s="270" customFormat="1" ht="15.75" customHeight="1">
      <c r="A8" s="708" t="s">
        <v>2</v>
      </c>
      <c r="B8" s="708" t="s">
        <v>3</v>
      </c>
      <c r="C8" s="677" t="s">
        <v>4</v>
      </c>
      <c r="D8" s="677"/>
      <c r="E8" s="677"/>
      <c r="F8" s="727"/>
      <c r="G8" s="766"/>
      <c r="H8" s="728" t="s">
        <v>98</v>
      </c>
      <c r="I8" s="728"/>
      <c r="J8" s="728"/>
      <c r="K8" s="728"/>
      <c r="L8" s="728"/>
      <c r="M8" s="708" t="s">
        <v>131</v>
      </c>
      <c r="N8" s="674" t="s">
        <v>132</v>
      </c>
    </row>
    <row r="9" spans="1:19" s="270" customFormat="1" ht="38.25">
      <c r="A9" s="710"/>
      <c r="B9" s="710"/>
      <c r="C9" s="257" t="s">
        <v>675</v>
      </c>
      <c r="D9" s="257" t="s">
        <v>6</v>
      </c>
      <c r="E9" s="257" t="s">
        <v>353</v>
      </c>
      <c r="F9" s="253" t="s">
        <v>96</v>
      </c>
      <c r="G9" s="267" t="s">
        <v>201</v>
      </c>
      <c r="H9" s="257" t="s">
        <v>5</v>
      </c>
      <c r="I9" s="257" t="s">
        <v>6</v>
      </c>
      <c r="J9" s="257" t="s">
        <v>353</v>
      </c>
      <c r="K9" s="253" t="s">
        <v>96</v>
      </c>
      <c r="L9" s="253" t="s">
        <v>200</v>
      </c>
      <c r="M9" s="710"/>
      <c r="N9" s="674"/>
      <c r="R9" s="272"/>
      <c r="S9" s="272"/>
    </row>
    <row r="10" spans="1:14" s="15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4" ht="13.5" customHeight="1">
      <c r="A11" s="8">
        <v>1</v>
      </c>
      <c r="B11" s="19" t="s">
        <v>473</v>
      </c>
      <c r="C11" s="9">
        <v>9</v>
      </c>
      <c r="D11" s="9">
        <v>0</v>
      </c>
      <c r="E11" s="9">
        <v>0</v>
      </c>
      <c r="F11" s="9">
        <v>0</v>
      </c>
      <c r="G11" s="9">
        <f>SUM(C11:F11)</f>
        <v>9</v>
      </c>
      <c r="H11" s="9">
        <f>C11</f>
        <v>9</v>
      </c>
      <c r="I11" s="9">
        <f>D11</f>
        <v>0</v>
      </c>
      <c r="J11" s="9">
        <f>E11</f>
        <v>0</v>
      </c>
      <c r="K11" s="9">
        <f>F11</f>
        <v>0</v>
      </c>
      <c r="L11" s="9">
        <f>G11</f>
        <v>9</v>
      </c>
      <c r="M11" s="9">
        <f>G11-L11</f>
        <v>0</v>
      </c>
      <c r="N11" s="767" t="s">
        <v>868</v>
      </c>
    </row>
    <row r="12" spans="1:14" ht="13.5" customHeight="1">
      <c r="A12" s="8">
        <v>2</v>
      </c>
      <c r="B12" s="19" t="s">
        <v>474</v>
      </c>
      <c r="C12" s="9">
        <v>6</v>
      </c>
      <c r="D12" s="9">
        <v>0</v>
      </c>
      <c r="E12" s="9">
        <v>0</v>
      </c>
      <c r="F12" s="9">
        <v>0</v>
      </c>
      <c r="G12" s="9">
        <f aca="true" t="shared" si="0" ref="G12:G18">SUM(C12:F12)</f>
        <v>6</v>
      </c>
      <c r="H12" s="9">
        <f aca="true" t="shared" si="1" ref="H12:H18">C12</f>
        <v>6</v>
      </c>
      <c r="I12" s="9">
        <f aca="true" t="shared" si="2" ref="I12:I18">D12</f>
        <v>0</v>
      </c>
      <c r="J12" s="9">
        <f aca="true" t="shared" si="3" ref="J12:J18">E12</f>
        <v>0</v>
      </c>
      <c r="K12" s="9">
        <f aca="true" t="shared" si="4" ref="K12:K18">F12</f>
        <v>0</v>
      </c>
      <c r="L12" s="9">
        <f aca="true" t="shared" si="5" ref="L12:L18">G12</f>
        <v>6</v>
      </c>
      <c r="M12" s="9">
        <f aca="true" t="shared" si="6" ref="M12:M18">G12-L12</f>
        <v>0</v>
      </c>
      <c r="N12" s="768"/>
    </row>
    <row r="13" spans="1:14" ht="13.5" customHeight="1">
      <c r="A13" s="8">
        <v>3</v>
      </c>
      <c r="B13" s="19" t="s">
        <v>475</v>
      </c>
      <c r="C13" s="9">
        <v>1</v>
      </c>
      <c r="D13" s="9">
        <v>0</v>
      </c>
      <c r="E13" s="9">
        <v>0</v>
      </c>
      <c r="F13" s="9">
        <v>0</v>
      </c>
      <c r="G13" s="9">
        <f t="shared" si="0"/>
        <v>1</v>
      </c>
      <c r="H13" s="9">
        <f t="shared" si="1"/>
        <v>1</v>
      </c>
      <c r="I13" s="9">
        <f t="shared" si="2"/>
        <v>0</v>
      </c>
      <c r="J13" s="9">
        <f t="shared" si="3"/>
        <v>0</v>
      </c>
      <c r="K13" s="9">
        <f t="shared" si="4"/>
        <v>0</v>
      </c>
      <c r="L13" s="9">
        <f t="shared" si="5"/>
        <v>1</v>
      </c>
      <c r="M13" s="9">
        <f t="shared" si="6"/>
        <v>0</v>
      </c>
      <c r="N13" s="768"/>
    </row>
    <row r="14" spans="1:14" ht="13.5" customHeight="1">
      <c r="A14" s="8">
        <v>4</v>
      </c>
      <c r="B14" s="19" t="s">
        <v>476</v>
      </c>
      <c r="C14" s="9">
        <v>8</v>
      </c>
      <c r="D14" s="9">
        <v>0</v>
      </c>
      <c r="E14" s="9">
        <v>0</v>
      </c>
      <c r="F14" s="9">
        <v>0</v>
      </c>
      <c r="G14" s="9">
        <f t="shared" si="0"/>
        <v>8</v>
      </c>
      <c r="H14" s="9">
        <f t="shared" si="1"/>
        <v>8</v>
      </c>
      <c r="I14" s="9">
        <f t="shared" si="2"/>
        <v>0</v>
      </c>
      <c r="J14" s="9">
        <f t="shared" si="3"/>
        <v>0</v>
      </c>
      <c r="K14" s="9">
        <f t="shared" si="4"/>
        <v>0</v>
      </c>
      <c r="L14" s="9">
        <f t="shared" si="5"/>
        <v>8</v>
      </c>
      <c r="M14" s="9">
        <f t="shared" si="6"/>
        <v>0</v>
      </c>
      <c r="N14" s="768"/>
    </row>
    <row r="15" spans="1:14" ht="13.5" customHeight="1">
      <c r="A15" s="8">
        <v>5</v>
      </c>
      <c r="B15" s="19" t="s">
        <v>477</v>
      </c>
      <c r="C15" s="9">
        <v>8</v>
      </c>
      <c r="D15" s="9">
        <v>0</v>
      </c>
      <c r="E15" s="9">
        <v>0</v>
      </c>
      <c r="F15" s="9">
        <v>0</v>
      </c>
      <c r="G15" s="9">
        <f t="shared" si="0"/>
        <v>8</v>
      </c>
      <c r="H15" s="9">
        <f t="shared" si="1"/>
        <v>8</v>
      </c>
      <c r="I15" s="9">
        <f t="shared" si="2"/>
        <v>0</v>
      </c>
      <c r="J15" s="9">
        <f t="shared" si="3"/>
        <v>0</v>
      </c>
      <c r="K15" s="9">
        <f t="shared" si="4"/>
        <v>0</v>
      </c>
      <c r="L15" s="9">
        <f t="shared" si="5"/>
        <v>8</v>
      </c>
      <c r="M15" s="9">
        <f t="shared" si="6"/>
        <v>0</v>
      </c>
      <c r="N15" s="768"/>
    </row>
    <row r="16" spans="1:14" ht="13.5" customHeight="1">
      <c r="A16" s="8">
        <v>6</v>
      </c>
      <c r="B16" s="19" t="s">
        <v>478</v>
      </c>
      <c r="C16" s="9">
        <v>1</v>
      </c>
      <c r="D16" s="9">
        <v>0</v>
      </c>
      <c r="E16" s="9">
        <v>0</v>
      </c>
      <c r="F16" s="9">
        <v>0</v>
      </c>
      <c r="G16" s="9">
        <f t="shared" si="0"/>
        <v>1</v>
      </c>
      <c r="H16" s="9">
        <f t="shared" si="1"/>
        <v>1</v>
      </c>
      <c r="I16" s="9">
        <f t="shared" si="2"/>
        <v>0</v>
      </c>
      <c r="J16" s="9">
        <f t="shared" si="3"/>
        <v>0</v>
      </c>
      <c r="K16" s="9">
        <f t="shared" si="4"/>
        <v>0</v>
      </c>
      <c r="L16" s="9">
        <f t="shared" si="5"/>
        <v>1</v>
      </c>
      <c r="M16" s="9">
        <f t="shared" si="6"/>
        <v>0</v>
      </c>
      <c r="N16" s="768"/>
    </row>
    <row r="17" spans="1:14" ht="13.5" customHeight="1">
      <c r="A17" s="8">
        <v>7</v>
      </c>
      <c r="B17" s="19" t="s">
        <v>479</v>
      </c>
      <c r="C17" s="9">
        <v>1</v>
      </c>
      <c r="D17" s="9">
        <v>0</v>
      </c>
      <c r="E17" s="9">
        <v>0</v>
      </c>
      <c r="F17" s="9">
        <v>2</v>
      </c>
      <c r="G17" s="9">
        <f t="shared" si="0"/>
        <v>3</v>
      </c>
      <c r="H17" s="9">
        <f t="shared" si="1"/>
        <v>1</v>
      </c>
      <c r="I17" s="9">
        <f t="shared" si="2"/>
        <v>0</v>
      </c>
      <c r="J17" s="9">
        <f t="shared" si="3"/>
        <v>0</v>
      </c>
      <c r="K17" s="9">
        <f t="shared" si="4"/>
        <v>2</v>
      </c>
      <c r="L17" s="9">
        <f t="shared" si="5"/>
        <v>3</v>
      </c>
      <c r="M17" s="9">
        <f t="shared" si="6"/>
        <v>0</v>
      </c>
      <c r="N17" s="768"/>
    </row>
    <row r="18" spans="1:14" ht="13.5" customHeight="1">
      <c r="A18" s="8">
        <v>8</v>
      </c>
      <c r="B18" s="19" t="s">
        <v>480</v>
      </c>
      <c r="C18" s="9">
        <v>6</v>
      </c>
      <c r="D18" s="9">
        <v>0</v>
      </c>
      <c r="E18" s="9">
        <v>0</v>
      </c>
      <c r="F18" s="9">
        <v>0</v>
      </c>
      <c r="G18" s="9">
        <f t="shared" si="0"/>
        <v>6</v>
      </c>
      <c r="H18" s="9">
        <f t="shared" si="1"/>
        <v>6</v>
      </c>
      <c r="I18" s="9">
        <f t="shared" si="2"/>
        <v>0</v>
      </c>
      <c r="J18" s="9">
        <f t="shared" si="3"/>
        <v>0</v>
      </c>
      <c r="K18" s="9">
        <f t="shared" si="4"/>
        <v>0</v>
      </c>
      <c r="L18" s="9">
        <f t="shared" si="5"/>
        <v>6</v>
      </c>
      <c r="M18" s="9">
        <f t="shared" si="6"/>
        <v>0</v>
      </c>
      <c r="N18" s="769"/>
    </row>
    <row r="19" spans="1:14" s="15" customFormat="1" ht="12.75">
      <c r="A19" s="3"/>
      <c r="B19" s="27" t="s">
        <v>481</v>
      </c>
      <c r="C19" s="27">
        <f>SUM(C11:C18)</f>
        <v>40</v>
      </c>
      <c r="D19" s="27">
        <f aca="true" t="shared" si="7" ref="D19:M19">SUM(D11:D18)</f>
        <v>0</v>
      </c>
      <c r="E19" s="27">
        <f>SUM(E11:E18)</f>
        <v>0</v>
      </c>
      <c r="F19" s="27">
        <f t="shared" si="7"/>
        <v>2</v>
      </c>
      <c r="G19" s="27">
        <f t="shared" si="7"/>
        <v>42</v>
      </c>
      <c r="H19" s="27">
        <f t="shared" si="7"/>
        <v>40</v>
      </c>
      <c r="I19" s="27">
        <f t="shared" si="7"/>
        <v>0</v>
      </c>
      <c r="J19" s="27">
        <f t="shared" si="7"/>
        <v>0</v>
      </c>
      <c r="K19" s="27">
        <f t="shared" si="7"/>
        <v>2</v>
      </c>
      <c r="L19" s="27">
        <f t="shared" si="7"/>
        <v>42</v>
      </c>
      <c r="M19" s="27">
        <f t="shared" si="7"/>
        <v>0</v>
      </c>
      <c r="N19" s="27"/>
    </row>
    <row r="20" spans="1:14" s="15" customFormat="1" ht="12.75">
      <c r="A20" s="230" t="s">
        <v>556</v>
      </c>
      <c r="B20" s="551" t="s">
        <v>817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7" ht="12.75">
      <c r="A21" s="11" t="s">
        <v>8</v>
      </c>
      <c r="G21">
        <f>G19+'AT3C_cvrg(Insti)_UPY '!G19</f>
        <v>2128</v>
      </c>
    </row>
    <row r="22" spans="1:14" ht="12.75">
      <c r="A22" t="s">
        <v>9</v>
      </c>
      <c r="N22" t="s">
        <v>11</v>
      </c>
    </row>
    <row r="23" spans="1:14" ht="12.75">
      <c r="A23" t="s">
        <v>10</v>
      </c>
      <c r="H23" s="16" t="s">
        <v>11</v>
      </c>
      <c r="L23" s="12" t="s">
        <v>11</v>
      </c>
      <c r="M23" s="12"/>
      <c r="N23" s="12" t="s">
        <v>11</v>
      </c>
    </row>
    <row r="24" spans="1:12" ht="12.75">
      <c r="A24" s="16" t="s">
        <v>430</v>
      </c>
      <c r="J24" s="12"/>
      <c r="K24" s="12"/>
      <c r="L24" s="12"/>
    </row>
    <row r="25" spans="3:13" ht="12.75">
      <c r="C25" s="16" t="s">
        <v>431</v>
      </c>
      <c r="E25" s="13"/>
      <c r="F25" s="13"/>
      <c r="G25" s="13"/>
      <c r="H25" s="13"/>
      <c r="I25" s="13"/>
      <c r="J25" s="13"/>
      <c r="K25" s="13"/>
      <c r="L25" s="13"/>
      <c r="M25" s="13"/>
    </row>
    <row r="26" spans="5:14" ht="12.75"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5:14" ht="12.75"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5" s="16" customFormat="1" ht="15" customHeight="1">
      <c r="A28" s="15" t="s">
        <v>12</v>
      </c>
      <c r="B28" s="15"/>
      <c r="C28" s="15"/>
      <c r="D28" s="15"/>
      <c r="E28" s="15"/>
      <c r="F28" s="15"/>
      <c r="G28" s="15"/>
      <c r="J28" s="15"/>
      <c r="K28" s="699"/>
      <c r="L28" s="699"/>
      <c r="M28" s="699"/>
      <c r="N28" s="699"/>
      <c r="O28" s="86"/>
    </row>
    <row r="29" spans="2:14" s="16" customFormat="1" ht="15" customHeight="1">
      <c r="B29" s="86"/>
      <c r="C29" s="86"/>
      <c r="D29" s="86"/>
      <c r="E29" s="86"/>
      <c r="F29" s="86"/>
      <c r="G29" s="86"/>
      <c r="H29" s="86"/>
      <c r="I29" s="86"/>
      <c r="J29" s="86"/>
      <c r="K29" s="699" t="s">
        <v>1062</v>
      </c>
      <c r="L29" s="699"/>
      <c r="M29" s="699"/>
      <c r="N29" s="699"/>
    </row>
    <row r="30" spans="2:14" s="16" customFormat="1" ht="12.75" customHeight="1">
      <c r="B30" s="86"/>
      <c r="C30" s="86"/>
      <c r="D30" s="86"/>
      <c r="E30" s="86"/>
      <c r="F30" s="86"/>
      <c r="G30" s="86"/>
      <c r="H30" s="86"/>
      <c r="I30" s="86"/>
      <c r="J30" s="86"/>
      <c r="K30" s="699" t="s">
        <v>485</v>
      </c>
      <c r="L30" s="699"/>
      <c r="M30" s="699"/>
      <c r="N30" s="699"/>
    </row>
    <row r="31" spans="11:14" s="16" customFormat="1" ht="12.75">
      <c r="K31" s="668" t="s">
        <v>80</v>
      </c>
      <c r="L31" s="668"/>
      <c r="M31" s="668"/>
      <c r="N31" s="668"/>
    </row>
    <row r="32" spans="1:14" ht="12.75">
      <c r="A32" s="765"/>
      <c r="B32" s="765"/>
      <c r="C32" s="765"/>
      <c r="D32" s="765"/>
      <c r="E32" s="765"/>
      <c r="F32" s="765"/>
      <c r="G32" s="765"/>
      <c r="H32" s="765"/>
      <c r="I32" s="765"/>
      <c r="J32" s="765"/>
      <c r="K32" s="765"/>
      <c r="L32" s="765"/>
      <c r="M32" s="765"/>
      <c r="N32" s="765"/>
    </row>
  </sheetData>
  <sheetProtection/>
  <mergeCells count="19">
    <mergeCell ref="D1:J1"/>
    <mergeCell ref="A2:N2"/>
    <mergeCell ref="A3:N3"/>
    <mergeCell ref="M1:N1"/>
    <mergeCell ref="M8:M9"/>
    <mergeCell ref="N8:N9"/>
    <mergeCell ref="A5:N5"/>
    <mergeCell ref="L7:N7"/>
    <mergeCell ref="A7:B7"/>
    <mergeCell ref="A8:A9"/>
    <mergeCell ref="A32:N32"/>
    <mergeCell ref="H8:L8"/>
    <mergeCell ref="K30:N30"/>
    <mergeCell ref="K31:N31"/>
    <mergeCell ref="K28:N28"/>
    <mergeCell ref="K29:N29"/>
    <mergeCell ref="B8:B9"/>
    <mergeCell ref="C8:G8"/>
    <mergeCell ref="N11:N18"/>
  </mergeCells>
  <printOptions horizontalCentered="1"/>
  <pageMargins left="0.58" right="0.19" top="1.08" bottom="0" header="0.45" footer="0.31496062992125984"/>
  <pageSetup fitToHeight="1" fitToWidth="1" horizontalDpi="600" verticalDpi="6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view="pageBreakPreview" zoomScaleSheetLayoutView="100" zoomScalePageLayoutView="0" workbookViewId="0" topLeftCell="A7">
      <selection activeCell="K30" sqref="K30:N30"/>
    </sheetView>
  </sheetViews>
  <sheetFormatPr defaultColWidth="9.140625" defaultRowHeight="12.75"/>
  <cols>
    <col min="1" max="1" width="5.28125" style="0" customWidth="1"/>
    <col min="2" max="2" width="10.7109375" style="0" customWidth="1"/>
    <col min="3" max="3" width="10.57421875" style="0" customWidth="1"/>
    <col min="5" max="5" width="9.57421875" style="0" customWidth="1"/>
    <col min="6" max="6" width="9.7109375" style="0" customWidth="1"/>
    <col min="7" max="7" width="9.421875" style="0" customWidth="1"/>
    <col min="8" max="8" width="10.57421875" style="0" customWidth="1"/>
    <col min="9" max="9" width="9.8515625" style="0" customWidth="1"/>
    <col min="11" max="11" width="11.8515625" style="0" customWidth="1"/>
    <col min="12" max="12" width="8.28125" style="0" customWidth="1"/>
    <col min="13" max="13" width="9.7109375" style="0" customWidth="1"/>
    <col min="14" max="14" width="9.8515625" style="0" customWidth="1"/>
  </cols>
  <sheetData>
    <row r="1" spans="4:14" ht="12.75" customHeight="1">
      <c r="D1" s="676"/>
      <c r="E1" s="676"/>
      <c r="F1" s="676"/>
      <c r="G1" s="676"/>
      <c r="H1" s="676"/>
      <c r="I1" s="676"/>
      <c r="J1" s="676"/>
      <c r="M1" s="770" t="s">
        <v>252</v>
      </c>
      <c r="N1" s="770"/>
    </row>
    <row r="2" spans="1:14" ht="15">
      <c r="A2" s="772" t="s">
        <v>0</v>
      </c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</row>
    <row r="3" spans="1:14" ht="20.25">
      <c r="A3" s="701" t="s">
        <v>878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</row>
    <row r="4" ht="11.25" customHeight="1"/>
    <row r="5" spans="1:14" ht="15.75">
      <c r="A5" s="702" t="s">
        <v>886</v>
      </c>
      <c r="B5" s="702"/>
      <c r="C5" s="702"/>
      <c r="D5" s="702"/>
      <c r="E5" s="702"/>
      <c r="F5" s="702"/>
      <c r="G5" s="702"/>
      <c r="H5" s="702"/>
      <c r="I5" s="702"/>
      <c r="J5" s="702"/>
      <c r="K5" s="702"/>
      <c r="L5" s="702"/>
      <c r="M5" s="702"/>
      <c r="N5" s="702"/>
    </row>
    <row r="7" spans="1:15" ht="12.75">
      <c r="A7" s="668" t="s">
        <v>472</v>
      </c>
      <c r="B7" s="668"/>
      <c r="L7" s="771" t="s">
        <v>931</v>
      </c>
      <c r="M7" s="771"/>
      <c r="N7" s="771"/>
      <c r="O7" s="113"/>
    </row>
    <row r="8" spans="1:19" s="260" customFormat="1" ht="15.75" customHeight="1">
      <c r="A8" s="708" t="s">
        <v>2</v>
      </c>
      <c r="B8" s="708" t="s">
        <v>3</v>
      </c>
      <c r="C8" s="677" t="s">
        <v>4</v>
      </c>
      <c r="D8" s="677"/>
      <c r="E8" s="677"/>
      <c r="F8" s="727"/>
      <c r="G8" s="727"/>
      <c r="H8" s="677" t="s">
        <v>98</v>
      </c>
      <c r="I8" s="677"/>
      <c r="J8" s="677"/>
      <c r="K8" s="677"/>
      <c r="L8" s="677"/>
      <c r="M8" s="708" t="s">
        <v>131</v>
      </c>
      <c r="N8" s="674" t="s">
        <v>132</v>
      </c>
      <c r="Q8" s="269"/>
      <c r="R8" s="269"/>
      <c r="S8" s="269"/>
    </row>
    <row r="9" spans="1:19" s="260" customFormat="1" ht="38.25">
      <c r="A9" s="710"/>
      <c r="B9" s="710"/>
      <c r="C9" s="257" t="s">
        <v>5</v>
      </c>
      <c r="D9" s="257" t="s">
        <v>6</v>
      </c>
      <c r="E9" s="257" t="s">
        <v>353</v>
      </c>
      <c r="F9" s="253" t="s">
        <v>96</v>
      </c>
      <c r="G9" s="253" t="s">
        <v>114</v>
      </c>
      <c r="H9" s="257" t="s">
        <v>5</v>
      </c>
      <c r="I9" s="254" t="s">
        <v>6</v>
      </c>
      <c r="J9" s="257" t="s">
        <v>353</v>
      </c>
      <c r="K9" s="253" t="s">
        <v>96</v>
      </c>
      <c r="L9" s="253" t="s">
        <v>115</v>
      </c>
      <c r="M9" s="710"/>
      <c r="N9" s="674"/>
      <c r="Q9" s="269"/>
      <c r="R9" s="269"/>
      <c r="S9" s="269"/>
    </row>
    <row r="10" spans="1:19" s="15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6">
        <v>6</v>
      </c>
      <c r="G10" s="132">
        <v>7</v>
      </c>
      <c r="H10" s="5">
        <v>8</v>
      </c>
      <c r="I10" s="104">
        <v>9</v>
      </c>
      <c r="J10" s="5">
        <v>10</v>
      </c>
      <c r="K10" s="3">
        <v>11</v>
      </c>
      <c r="L10" s="112">
        <v>12</v>
      </c>
      <c r="M10" s="112">
        <v>13</v>
      </c>
      <c r="N10" s="3">
        <v>14</v>
      </c>
      <c r="Q10" s="28"/>
      <c r="R10" s="28"/>
      <c r="S10" s="28"/>
    </row>
    <row r="11" spans="1:14" ht="12.75">
      <c r="A11" s="8">
        <v>1</v>
      </c>
      <c r="B11" s="19" t="s">
        <v>473</v>
      </c>
      <c r="C11" s="9">
        <v>290</v>
      </c>
      <c r="D11" s="9">
        <v>19</v>
      </c>
      <c r="E11" s="9">
        <v>0</v>
      </c>
      <c r="F11" s="9">
        <v>0</v>
      </c>
      <c r="G11" s="72">
        <f>SUM(C11:F11)</f>
        <v>309</v>
      </c>
      <c r="H11" s="10">
        <f>C11</f>
        <v>290</v>
      </c>
      <c r="I11" s="10">
        <f>D11</f>
        <v>19</v>
      </c>
      <c r="J11" s="10">
        <f>E11</f>
        <v>0</v>
      </c>
      <c r="K11" s="10">
        <f>F11</f>
        <v>0</v>
      </c>
      <c r="L11" s="9">
        <f>SUM(H11:K11)</f>
        <v>309</v>
      </c>
      <c r="M11" s="9">
        <f>G11-L11</f>
        <v>0</v>
      </c>
      <c r="N11" s="767" t="s">
        <v>509</v>
      </c>
    </row>
    <row r="12" spans="1:14" ht="12.75">
      <c r="A12" s="8">
        <v>2</v>
      </c>
      <c r="B12" s="19" t="s">
        <v>474</v>
      </c>
      <c r="C12" s="9">
        <v>275</v>
      </c>
      <c r="D12" s="9">
        <v>0</v>
      </c>
      <c r="E12" s="9">
        <v>0</v>
      </c>
      <c r="F12" s="9">
        <v>7</v>
      </c>
      <c r="G12" s="72">
        <f aca="true" t="shared" si="0" ref="G12:G18">SUM(C12:F12)</f>
        <v>282</v>
      </c>
      <c r="H12" s="10">
        <f aca="true" t="shared" si="1" ref="H12:K18">C12</f>
        <v>275</v>
      </c>
      <c r="I12" s="10">
        <f t="shared" si="1"/>
        <v>0</v>
      </c>
      <c r="J12" s="10">
        <f t="shared" si="1"/>
        <v>0</v>
      </c>
      <c r="K12" s="10">
        <f t="shared" si="1"/>
        <v>7</v>
      </c>
      <c r="L12" s="9">
        <f aca="true" t="shared" si="2" ref="L12:L18">SUM(H12:K12)</f>
        <v>282</v>
      </c>
      <c r="M12" s="9">
        <f aca="true" t="shared" si="3" ref="M12:M18">G12-L12</f>
        <v>0</v>
      </c>
      <c r="N12" s="768"/>
    </row>
    <row r="13" spans="1:14" ht="12.75">
      <c r="A13" s="8">
        <v>3</v>
      </c>
      <c r="B13" s="19" t="s">
        <v>475</v>
      </c>
      <c r="C13" s="9">
        <v>209</v>
      </c>
      <c r="D13" s="9">
        <v>2</v>
      </c>
      <c r="E13" s="9">
        <v>0</v>
      </c>
      <c r="F13" s="9">
        <v>0</v>
      </c>
      <c r="G13" s="72">
        <f t="shared" si="0"/>
        <v>211</v>
      </c>
      <c r="H13" s="10">
        <f t="shared" si="1"/>
        <v>209</v>
      </c>
      <c r="I13" s="10">
        <f t="shared" si="1"/>
        <v>2</v>
      </c>
      <c r="J13" s="10">
        <f t="shared" si="1"/>
        <v>0</v>
      </c>
      <c r="K13" s="10">
        <f t="shared" si="1"/>
        <v>0</v>
      </c>
      <c r="L13" s="9">
        <f t="shared" si="2"/>
        <v>211</v>
      </c>
      <c r="M13" s="9">
        <f t="shared" si="3"/>
        <v>0</v>
      </c>
      <c r="N13" s="768"/>
    </row>
    <row r="14" spans="1:14" ht="12.75">
      <c r="A14" s="8">
        <v>4</v>
      </c>
      <c r="B14" s="19" t="s">
        <v>476</v>
      </c>
      <c r="C14" s="9">
        <v>272</v>
      </c>
      <c r="D14" s="9">
        <v>1</v>
      </c>
      <c r="E14" s="9">
        <v>0</v>
      </c>
      <c r="F14" s="9">
        <v>1</v>
      </c>
      <c r="G14" s="72">
        <f t="shared" si="0"/>
        <v>274</v>
      </c>
      <c r="H14" s="10">
        <f t="shared" si="1"/>
        <v>272</v>
      </c>
      <c r="I14" s="10">
        <f t="shared" si="1"/>
        <v>1</v>
      </c>
      <c r="J14" s="10">
        <f t="shared" si="1"/>
        <v>0</v>
      </c>
      <c r="K14" s="10">
        <f t="shared" si="1"/>
        <v>1</v>
      </c>
      <c r="L14" s="9">
        <f t="shared" si="2"/>
        <v>274</v>
      </c>
      <c r="M14" s="9">
        <f t="shared" si="3"/>
        <v>0</v>
      </c>
      <c r="N14" s="768"/>
    </row>
    <row r="15" spans="1:14" ht="12.75">
      <c r="A15" s="8">
        <v>5</v>
      </c>
      <c r="B15" s="19" t="s">
        <v>477</v>
      </c>
      <c r="C15" s="9">
        <v>298</v>
      </c>
      <c r="D15" s="9">
        <v>2</v>
      </c>
      <c r="E15" s="9">
        <v>0</v>
      </c>
      <c r="F15" s="9">
        <v>0</v>
      </c>
      <c r="G15" s="72">
        <f t="shared" si="0"/>
        <v>300</v>
      </c>
      <c r="H15" s="10">
        <f t="shared" si="1"/>
        <v>298</v>
      </c>
      <c r="I15" s="10">
        <f t="shared" si="1"/>
        <v>2</v>
      </c>
      <c r="J15" s="10">
        <f t="shared" si="1"/>
        <v>0</v>
      </c>
      <c r="K15" s="10">
        <f t="shared" si="1"/>
        <v>0</v>
      </c>
      <c r="L15" s="9">
        <f t="shared" si="2"/>
        <v>300</v>
      </c>
      <c r="M15" s="9">
        <f t="shared" si="3"/>
        <v>0</v>
      </c>
      <c r="N15" s="768"/>
    </row>
    <row r="16" spans="1:14" ht="12.75">
      <c r="A16" s="8">
        <v>6</v>
      </c>
      <c r="B16" s="19" t="s">
        <v>478</v>
      </c>
      <c r="C16" s="9">
        <v>142</v>
      </c>
      <c r="D16" s="9">
        <v>4</v>
      </c>
      <c r="E16" s="9">
        <v>0</v>
      </c>
      <c r="F16" s="9">
        <v>1</v>
      </c>
      <c r="G16" s="72">
        <f t="shared" si="0"/>
        <v>147</v>
      </c>
      <c r="H16" s="10">
        <f t="shared" si="1"/>
        <v>142</v>
      </c>
      <c r="I16" s="10">
        <f t="shared" si="1"/>
        <v>4</v>
      </c>
      <c r="J16" s="10">
        <f t="shared" si="1"/>
        <v>0</v>
      </c>
      <c r="K16" s="10">
        <f t="shared" si="1"/>
        <v>1</v>
      </c>
      <c r="L16" s="9">
        <f t="shared" si="2"/>
        <v>147</v>
      </c>
      <c r="M16" s="9">
        <f t="shared" si="3"/>
        <v>0</v>
      </c>
      <c r="N16" s="768"/>
    </row>
    <row r="17" spans="1:14" ht="12.75">
      <c r="A17" s="8">
        <v>7</v>
      </c>
      <c r="B17" s="19" t="s">
        <v>479</v>
      </c>
      <c r="C17" s="9">
        <v>236</v>
      </c>
      <c r="D17" s="19">
        <v>3</v>
      </c>
      <c r="E17" s="9">
        <v>0</v>
      </c>
      <c r="F17" s="19">
        <v>2</v>
      </c>
      <c r="G17" s="72">
        <f t="shared" si="0"/>
        <v>241</v>
      </c>
      <c r="H17" s="10">
        <f t="shared" si="1"/>
        <v>236</v>
      </c>
      <c r="I17" s="10">
        <f t="shared" si="1"/>
        <v>3</v>
      </c>
      <c r="J17" s="10">
        <f t="shared" si="1"/>
        <v>0</v>
      </c>
      <c r="K17" s="10">
        <f t="shared" si="1"/>
        <v>2</v>
      </c>
      <c r="L17" s="9">
        <f t="shared" si="2"/>
        <v>241</v>
      </c>
      <c r="M17" s="9">
        <f t="shared" si="3"/>
        <v>0</v>
      </c>
      <c r="N17" s="768"/>
    </row>
    <row r="18" spans="1:14" ht="12.75">
      <c r="A18" s="8">
        <v>8</v>
      </c>
      <c r="B18" s="19" t="s">
        <v>480</v>
      </c>
      <c r="C18" s="9">
        <v>321</v>
      </c>
      <c r="D18" s="9">
        <v>1</v>
      </c>
      <c r="E18" s="9">
        <v>0</v>
      </c>
      <c r="F18" s="9">
        <v>0</v>
      </c>
      <c r="G18" s="72">
        <f t="shared" si="0"/>
        <v>322</v>
      </c>
      <c r="H18" s="10">
        <f t="shared" si="1"/>
        <v>321</v>
      </c>
      <c r="I18" s="10">
        <f t="shared" si="1"/>
        <v>1</v>
      </c>
      <c r="J18" s="10">
        <f t="shared" si="1"/>
        <v>0</v>
      </c>
      <c r="K18" s="10">
        <f t="shared" si="1"/>
        <v>0</v>
      </c>
      <c r="L18" s="9">
        <f t="shared" si="2"/>
        <v>322</v>
      </c>
      <c r="M18" s="9">
        <f t="shared" si="3"/>
        <v>0</v>
      </c>
      <c r="N18" s="769"/>
    </row>
    <row r="19" spans="1:14" ht="12.75">
      <c r="A19" s="3"/>
      <c r="B19" s="27" t="s">
        <v>481</v>
      </c>
      <c r="C19" s="27">
        <f>SUM(C11:C18)</f>
        <v>2043</v>
      </c>
      <c r="D19" s="27">
        <f aca="true" t="shared" si="4" ref="D19:M19">SUM(D11:D18)</f>
        <v>32</v>
      </c>
      <c r="E19" s="27">
        <f t="shared" si="4"/>
        <v>0</v>
      </c>
      <c r="F19" s="27">
        <f t="shared" si="4"/>
        <v>11</v>
      </c>
      <c r="G19" s="27">
        <f t="shared" si="4"/>
        <v>2086</v>
      </c>
      <c r="H19" s="27">
        <f t="shared" si="4"/>
        <v>2043</v>
      </c>
      <c r="I19" s="27">
        <f t="shared" si="4"/>
        <v>32</v>
      </c>
      <c r="J19" s="27">
        <f t="shared" si="4"/>
        <v>0</v>
      </c>
      <c r="K19" s="27">
        <f t="shared" si="4"/>
        <v>11</v>
      </c>
      <c r="L19" s="27">
        <f t="shared" si="4"/>
        <v>2086</v>
      </c>
      <c r="M19" s="27">
        <f t="shared" si="4"/>
        <v>0</v>
      </c>
      <c r="N19" s="9"/>
    </row>
    <row r="20" spans="1:14" ht="12.7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5" ht="12.75">
      <c r="A21" s="11" t="s">
        <v>8</v>
      </c>
      <c r="E21" t="s">
        <v>11</v>
      </c>
    </row>
    <row r="22" ht="12.75">
      <c r="A22" t="s">
        <v>9</v>
      </c>
    </row>
    <row r="23" spans="1:14" ht="12.75">
      <c r="A23" t="s">
        <v>10</v>
      </c>
      <c r="K23" s="12" t="s">
        <v>11</v>
      </c>
      <c r="L23" s="12" t="s">
        <v>11</v>
      </c>
      <c r="M23" s="12"/>
      <c r="N23" s="12" t="s">
        <v>11</v>
      </c>
    </row>
    <row r="24" spans="1:12" ht="12.75">
      <c r="A24" s="16" t="s">
        <v>430</v>
      </c>
      <c r="J24" s="12"/>
      <c r="K24" s="12"/>
      <c r="L24" s="12"/>
    </row>
    <row r="25" spans="3:13" ht="12.75">
      <c r="C25" s="16" t="s">
        <v>431</v>
      </c>
      <c r="E25" s="13"/>
      <c r="F25" s="13"/>
      <c r="G25" s="13"/>
      <c r="H25" s="13"/>
      <c r="I25" s="13"/>
      <c r="J25" s="13"/>
      <c r="K25" s="13"/>
      <c r="L25" s="13"/>
      <c r="M25" s="13"/>
    </row>
    <row r="26" spans="5:14" ht="12.75"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5:14" ht="12.75"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5" s="16" customFormat="1" ht="15" customHeight="1">
      <c r="A28" s="15" t="s">
        <v>12</v>
      </c>
      <c r="B28" s="15"/>
      <c r="C28" s="15"/>
      <c r="D28" s="15"/>
      <c r="E28" s="15"/>
      <c r="F28" s="15"/>
      <c r="G28" s="15"/>
      <c r="J28" s="15"/>
      <c r="K28" s="699"/>
      <c r="L28" s="699"/>
      <c r="M28" s="699"/>
      <c r="N28" s="699"/>
      <c r="O28" s="86"/>
    </row>
    <row r="29" spans="2:14" s="16" customFormat="1" ht="12.75">
      <c r="B29" s="86"/>
      <c r="C29" s="86"/>
      <c r="D29" s="86"/>
      <c r="E29" s="86"/>
      <c r="F29" s="86"/>
      <c r="G29" s="86"/>
      <c r="H29" s="86"/>
      <c r="I29" s="86"/>
      <c r="J29" s="86"/>
      <c r="K29" s="699" t="s">
        <v>1062</v>
      </c>
      <c r="L29" s="699"/>
      <c r="M29" s="699"/>
      <c r="N29" s="699"/>
    </row>
    <row r="30" spans="2:14" s="16" customFormat="1" ht="12.75">
      <c r="B30" s="86"/>
      <c r="C30" s="86"/>
      <c r="D30" s="86"/>
      <c r="E30" s="86"/>
      <c r="F30" s="86"/>
      <c r="G30" s="86"/>
      <c r="H30" s="86"/>
      <c r="I30" s="86"/>
      <c r="J30" s="86"/>
      <c r="K30" s="699" t="s">
        <v>485</v>
      </c>
      <c r="L30" s="699"/>
      <c r="M30" s="699"/>
      <c r="N30" s="699"/>
    </row>
    <row r="31" spans="11:14" s="16" customFormat="1" ht="12.75">
      <c r="K31" s="668" t="s">
        <v>80</v>
      </c>
      <c r="L31" s="668"/>
      <c r="M31" s="668"/>
      <c r="N31" s="668"/>
    </row>
    <row r="32" spans="1:14" ht="12.75">
      <c r="A32" s="765"/>
      <c r="B32" s="765"/>
      <c r="C32" s="765"/>
      <c r="D32" s="765"/>
      <c r="E32" s="765"/>
      <c r="F32" s="765"/>
      <c r="G32" s="765"/>
      <c r="H32" s="765"/>
      <c r="I32" s="765"/>
      <c r="J32" s="765"/>
      <c r="K32" s="765"/>
      <c r="L32" s="765"/>
      <c r="M32" s="765"/>
      <c r="N32" s="765"/>
    </row>
  </sheetData>
  <sheetProtection/>
  <mergeCells count="19">
    <mergeCell ref="A32:N32"/>
    <mergeCell ref="N8:N9"/>
    <mergeCell ref="K31:N31"/>
    <mergeCell ref="A8:A9"/>
    <mergeCell ref="B8:B9"/>
    <mergeCell ref="C8:G8"/>
    <mergeCell ref="H8:L8"/>
    <mergeCell ref="K28:N28"/>
    <mergeCell ref="K29:N29"/>
    <mergeCell ref="K30:N30"/>
    <mergeCell ref="N11:N18"/>
    <mergeCell ref="M8:M9"/>
    <mergeCell ref="A7:B7"/>
    <mergeCell ref="D1:J1"/>
    <mergeCell ref="A2:N2"/>
    <mergeCell ref="A3:N3"/>
    <mergeCell ref="A5:N5"/>
    <mergeCell ref="L7:N7"/>
    <mergeCell ref="M1:N1"/>
  </mergeCells>
  <printOptions horizontalCentered="1"/>
  <pageMargins left="0.74" right="0.27" top="1.08" bottom="0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view="pageBreakPreview" zoomScaleSheetLayoutView="100" zoomScalePageLayoutView="0" workbookViewId="0" topLeftCell="A1">
      <selection activeCell="A8" sqref="A8:A9"/>
    </sheetView>
  </sheetViews>
  <sheetFormatPr defaultColWidth="9.140625" defaultRowHeight="12.75"/>
  <cols>
    <col min="1" max="1" width="7.140625" style="16" customWidth="1"/>
    <col min="2" max="2" width="10.8515625" style="16" customWidth="1"/>
    <col min="3" max="3" width="10.28125" style="16" customWidth="1"/>
    <col min="4" max="4" width="9.28125" style="16" customWidth="1"/>
    <col min="5" max="6" width="9.140625" style="16" customWidth="1"/>
    <col min="7" max="7" width="11.7109375" style="16" customWidth="1"/>
    <col min="8" max="8" width="11.00390625" style="16" customWidth="1"/>
    <col min="9" max="9" width="9.7109375" style="16" customWidth="1"/>
    <col min="10" max="10" width="9.57421875" style="16" customWidth="1"/>
    <col min="11" max="11" width="9.28125" style="16" customWidth="1"/>
    <col min="12" max="12" width="10.7109375" style="16" customWidth="1"/>
    <col min="13" max="13" width="10.57421875" style="16" customWidth="1"/>
    <col min="14" max="14" width="8.7109375" style="16" customWidth="1"/>
    <col min="15" max="15" width="8.8515625" style="16" customWidth="1"/>
    <col min="16" max="16" width="9.57421875" style="16" bestFit="1" customWidth="1"/>
    <col min="17" max="17" width="11.00390625" style="16" customWidth="1"/>
    <col min="18" max="16384" width="9.140625" style="16" customWidth="1"/>
  </cols>
  <sheetData>
    <row r="1" spans="15:17" ht="12.75" customHeight="1">
      <c r="O1" s="774" t="s">
        <v>56</v>
      </c>
      <c r="P1" s="774"/>
      <c r="Q1" s="774"/>
    </row>
    <row r="2" spans="1:17" ht="15">
      <c r="A2" s="772" t="s">
        <v>0</v>
      </c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  <c r="O2" s="772"/>
      <c r="P2" s="772"/>
      <c r="Q2" s="772"/>
    </row>
    <row r="3" spans="1:17" ht="20.25">
      <c r="A3" s="701" t="s">
        <v>878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</row>
    <row r="4" ht="11.25" customHeight="1"/>
    <row r="5" spans="1:17" ht="15.75" customHeight="1">
      <c r="A5" s="773" t="s">
        <v>887</v>
      </c>
      <c r="B5" s="773"/>
      <c r="C5" s="773"/>
      <c r="D5" s="773"/>
      <c r="E5" s="773"/>
      <c r="F5" s="773"/>
      <c r="G5" s="773"/>
      <c r="H5" s="773"/>
      <c r="I5" s="773"/>
      <c r="J5" s="773"/>
      <c r="K5" s="773"/>
      <c r="L5" s="773"/>
      <c r="M5" s="773"/>
      <c r="N5" s="773"/>
      <c r="O5" s="773"/>
      <c r="P5" s="773"/>
      <c r="Q5" s="773"/>
    </row>
    <row r="7" spans="1:17" ht="17.25" customHeight="1">
      <c r="A7" s="668" t="s">
        <v>472</v>
      </c>
      <c r="B7" s="668"/>
      <c r="N7" s="763" t="s">
        <v>930</v>
      </c>
      <c r="O7" s="763"/>
      <c r="P7" s="763"/>
      <c r="Q7" s="763"/>
    </row>
    <row r="8" spans="1:17" s="273" customFormat="1" ht="24" customHeight="1">
      <c r="A8" s="674" t="s">
        <v>2</v>
      </c>
      <c r="B8" s="674" t="s">
        <v>3</v>
      </c>
      <c r="C8" s="677" t="s">
        <v>933</v>
      </c>
      <c r="D8" s="677"/>
      <c r="E8" s="677"/>
      <c r="F8" s="677"/>
      <c r="G8" s="677"/>
      <c r="H8" s="729" t="s">
        <v>796</v>
      </c>
      <c r="I8" s="677"/>
      <c r="J8" s="677"/>
      <c r="K8" s="677"/>
      <c r="L8" s="677"/>
      <c r="M8" s="664" t="s">
        <v>105</v>
      </c>
      <c r="N8" s="775"/>
      <c r="O8" s="775"/>
      <c r="P8" s="775"/>
      <c r="Q8" s="665"/>
    </row>
    <row r="9" spans="1:18" s="258" customFormat="1" ht="45.75" customHeight="1">
      <c r="A9" s="674"/>
      <c r="B9" s="674"/>
      <c r="C9" s="257" t="s">
        <v>208</v>
      </c>
      <c r="D9" s="257" t="s">
        <v>209</v>
      </c>
      <c r="E9" s="257" t="s">
        <v>353</v>
      </c>
      <c r="F9" s="257" t="s">
        <v>215</v>
      </c>
      <c r="G9" s="257" t="s">
        <v>114</v>
      </c>
      <c r="H9" s="254" t="s">
        <v>208</v>
      </c>
      <c r="I9" s="257" t="s">
        <v>209</v>
      </c>
      <c r="J9" s="257" t="s">
        <v>353</v>
      </c>
      <c r="K9" s="253" t="s">
        <v>215</v>
      </c>
      <c r="L9" s="257" t="s">
        <v>356</v>
      </c>
      <c r="M9" s="257" t="s">
        <v>208</v>
      </c>
      <c r="N9" s="257" t="s">
        <v>209</v>
      </c>
      <c r="O9" s="257" t="s">
        <v>353</v>
      </c>
      <c r="P9" s="253" t="s">
        <v>215</v>
      </c>
      <c r="Q9" s="253" t="s">
        <v>116</v>
      </c>
      <c r="R9" s="274"/>
    </row>
    <row r="10" spans="1:17" s="67" customFormat="1" ht="12.75">
      <c r="A10" s="66">
        <v>1</v>
      </c>
      <c r="B10" s="66">
        <v>2</v>
      </c>
      <c r="C10" s="66">
        <v>3</v>
      </c>
      <c r="D10" s="66">
        <v>4</v>
      </c>
      <c r="E10" s="66">
        <v>5</v>
      </c>
      <c r="F10" s="66">
        <v>6</v>
      </c>
      <c r="G10" s="66">
        <v>7</v>
      </c>
      <c r="H10" s="66">
        <v>8</v>
      </c>
      <c r="I10" s="66">
        <v>9</v>
      </c>
      <c r="J10" s="66">
        <v>10</v>
      </c>
      <c r="K10" s="66">
        <v>11</v>
      </c>
      <c r="L10" s="66">
        <v>12</v>
      </c>
      <c r="M10" s="66">
        <v>13</v>
      </c>
      <c r="N10" s="66">
        <v>14</v>
      </c>
      <c r="O10" s="66">
        <v>15</v>
      </c>
      <c r="P10" s="66">
        <v>16</v>
      </c>
      <c r="Q10" s="66">
        <v>17</v>
      </c>
    </row>
    <row r="11" spans="1:20" ht="12.75">
      <c r="A11" s="8">
        <v>1</v>
      </c>
      <c r="B11" s="19" t="s">
        <v>473</v>
      </c>
      <c r="C11" s="19">
        <v>45179</v>
      </c>
      <c r="D11" s="19">
        <v>4435</v>
      </c>
      <c r="E11" s="19">
        <v>0</v>
      </c>
      <c r="F11" s="19">
        <v>931</v>
      </c>
      <c r="G11" s="19">
        <f>SUM(C11:F11)</f>
        <v>50545</v>
      </c>
      <c r="H11" s="324">
        <v>35510</v>
      </c>
      <c r="I11" s="325">
        <v>2970</v>
      </c>
      <c r="J11" s="325">
        <v>0</v>
      </c>
      <c r="K11" s="325">
        <v>660</v>
      </c>
      <c r="L11" s="325">
        <f>SUM(H11:K11)</f>
        <v>39140</v>
      </c>
      <c r="M11" s="325">
        <f>H11*163</f>
        <v>5788130</v>
      </c>
      <c r="N11" s="325">
        <f>I11*163</f>
        <v>484110</v>
      </c>
      <c r="O11" s="325">
        <f>J11*163</f>
        <v>0</v>
      </c>
      <c r="P11" s="325">
        <f>K11*163</f>
        <v>107580</v>
      </c>
      <c r="Q11" s="325">
        <f>SUM(M11:P11)</f>
        <v>6379820</v>
      </c>
      <c r="R11" s="578"/>
      <c r="S11" s="502"/>
      <c r="T11" s="502"/>
    </row>
    <row r="12" spans="1:20" ht="12.75">
      <c r="A12" s="8">
        <v>2</v>
      </c>
      <c r="B12" s="19" t="s">
        <v>474</v>
      </c>
      <c r="C12" s="19">
        <v>30761</v>
      </c>
      <c r="D12" s="19">
        <v>220</v>
      </c>
      <c r="E12" s="19">
        <v>0</v>
      </c>
      <c r="F12" s="19">
        <v>3211</v>
      </c>
      <c r="G12" s="19">
        <f aca="true" t="shared" si="0" ref="G12:G18">SUM(C12:F12)</f>
        <v>34192</v>
      </c>
      <c r="H12" s="324">
        <v>24177</v>
      </c>
      <c r="I12" s="325">
        <v>147</v>
      </c>
      <c r="J12" s="325">
        <v>0</v>
      </c>
      <c r="K12" s="325">
        <v>2277</v>
      </c>
      <c r="L12" s="325">
        <f aca="true" t="shared" si="1" ref="L12:L18">SUM(H12:K12)</f>
        <v>26601</v>
      </c>
      <c r="M12" s="325">
        <f aca="true" t="shared" si="2" ref="M12:M18">H12*163</f>
        <v>3940851</v>
      </c>
      <c r="N12" s="325">
        <f aca="true" t="shared" si="3" ref="N12:N18">I12*163</f>
        <v>23961</v>
      </c>
      <c r="O12" s="325">
        <f aca="true" t="shared" si="4" ref="O12:O18">J12*163</f>
        <v>0</v>
      </c>
      <c r="P12" s="325">
        <f aca="true" t="shared" si="5" ref="P12:P18">K12*163</f>
        <v>371151</v>
      </c>
      <c r="Q12" s="325">
        <f aca="true" t="shared" si="6" ref="Q12:Q18">SUM(M12:P12)</f>
        <v>4335963</v>
      </c>
      <c r="R12" s="578"/>
      <c r="S12" s="502"/>
      <c r="T12" s="502"/>
    </row>
    <row r="13" spans="1:20" ht="12.75">
      <c r="A13" s="8">
        <v>3</v>
      </c>
      <c r="B13" s="19" t="s">
        <v>475</v>
      </c>
      <c r="C13" s="19">
        <v>20419</v>
      </c>
      <c r="D13" s="19">
        <v>425</v>
      </c>
      <c r="E13" s="19">
        <v>0</v>
      </c>
      <c r="F13" s="19">
        <v>31</v>
      </c>
      <c r="G13" s="19">
        <f t="shared" si="0"/>
        <v>20875</v>
      </c>
      <c r="H13" s="324">
        <v>16049</v>
      </c>
      <c r="I13" s="325">
        <v>285</v>
      </c>
      <c r="J13" s="325">
        <v>0</v>
      </c>
      <c r="K13" s="325">
        <v>22</v>
      </c>
      <c r="L13" s="325">
        <f t="shared" si="1"/>
        <v>16356</v>
      </c>
      <c r="M13" s="325">
        <f t="shared" si="2"/>
        <v>2615987</v>
      </c>
      <c r="N13" s="325">
        <f t="shared" si="3"/>
        <v>46455</v>
      </c>
      <c r="O13" s="325">
        <f t="shared" si="4"/>
        <v>0</v>
      </c>
      <c r="P13" s="325">
        <f t="shared" si="5"/>
        <v>3586</v>
      </c>
      <c r="Q13" s="325">
        <f t="shared" si="6"/>
        <v>2666028</v>
      </c>
      <c r="R13" s="578"/>
      <c r="S13" s="502"/>
      <c r="T13" s="502"/>
    </row>
    <row r="14" spans="1:20" ht="12.75">
      <c r="A14" s="8">
        <v>4</v>
      </c>
      <c r="B14" s="19" t="s">
        <v>476</v>
      </c>
      <c r="C14" s="19">
        <v>29283</v>
      </c>
      <c r="D14" s="19">
        <v>524</v>
      </c>
      <c r="E14" s="19">
        <v>0</v>
      </c>
      <c r="F14" s="19">
        <v>367</v>
      </c>
      <c r="G14" s="19">
        <f t="shared" si="0"/>
        <v>30174</v>
      </c>
      <c r="H14" s="324">
        <v>23016</v>
      </c>
      <c r="I14" s="325">
        <v>351</v>
      </c>
      <c r="J14" s="325">
        <v>0</v>
      </c>
      <c r="K14" s="325">
        <v>260</v>
      </c>
      <c r="L14" s="325">
        <f t="shared" si="1"/>
        <v>23627</v>
      </c>
      <c r="M14" s="325">
        <f t="shared" si="2"/>
        <v>3751608</v>
      </c>
      <c r="N14" s="325">
        <f t="shared" si="3"/>
        <v>57213</v>
      </c>
      <c r="O14" s="325">
        <f t="shared" si="4"/>
        <v>0</v>
      </c>
      <c r="P14" s="325">
        <f t="shared" si="5"/>
        <v>42380</v>
      </c>
      <c r="Q14" s="325">
        <f t="shared" si="6"/>
        <v>3851201</v>
      </c>
      <c r="R14" s="578"/>
      <c r="S14" s="502"/>
      <c r="T14" s="502"/>
    </row>
    <row r="15" spans="1:20" ht="12.75">
      <c r="A15" s="8">
        <v>5</v>
      </c>
      <c r="B15" s="19" t="s">
        <v>477</v>
      </c>
      <c r="C15" s="19">
        <v>30726</v>
      </c>
      <c r="D15" s="19">
        <v>0</v>
      </c>
      <c r="E15" s="19">
        <v>0</v>
      </c>
      <c r="F15" s="19">
        <v>92</v>
      </c>
      <c r="G15" s="19">
        <f t="shared" si="0"/>
        <v>30818</v>
      </c>
      <c r="H15" s="324">
        <v>24150</v>
      </c>
      <c r="I15" s="325">
        <v>0</v>
      </c>
      <c r="J15" s="325">
        <v>0</v>
      </c>
      <c r="K15" s="325">
        <v>65</v>
      </c>
      <c r="L15" s="325">
        <f t="shared" si="1"/>
        <v>24215</v>
      </c>
      <c r="M15" s="325">
        <f t="shared" si="2"/>
        <v>3936450</v>
      </c>
      <c r="N15" s="325">
        <f t="shared" si="3"/>
        <v>0</v>
      </c>
      <c r="O15" s="325">
        <f t="shared" si="4"/>
        <v>0</v>
      </c>
      <c r="P15" s="325">
        <f t="shared" si="5"/>
        <v>10595</v>
      </c>
      <c r="Q15" s="325">
        <f t="shared" si="6"/>
        <v>3947045</v>
      </c>
      <c r="R15" s="578"/>
      <c r="S15" s="502"/>
      <c r="T15" s="502"/>
    </row>
    <row r="16" spans="1:20" ht="12.75">
      <c r="A16" s="8">
        <v>6</v>
      </c>
      <c r="B16" s="19" t="s">
        <v>478</v>
      </c>
      <c r="C16" s="19">
        <v>21153</v>
      </c>
      <c r="D16" s="19">
        <v>451</v>
      </c>
      <c r="E16" s="19">
        <v>0</v>
      </c>
      <c r="F16" s="19">
        <v>2485</v>
      </c>
      <c r="G16" s="19">
        <f t="shared" si="0"/>
        <v>24089</v>
      </c>
      <c r="H16" s="324">
        <v>16626</v>
      </c>
      <c r="I16" s="325">
        <v>302</v>
      </c>
      <c r="J16" s="325">
        <v>0</v>
      </c>
      <c r="K16" s="325">
        <v>1762</v>
      </c>
      <c r="L16" s="325">
        <f t="shared" si="1"/>
        <v>18690</v>
      </c>
      <c r="M16" s="325">
        <f t="shared" si="2"/>
        <v>2710038</v>
      </c>
      <c r="N16" s="325">
        <f t="shared" si="3"/>
        <v>49226</v>
      </c>
      <c r="O16" s="325">
        <f t="shared" si="4"/>
        <v>0</v>
      </c>
      <c r="P16" s="325">
        <f t="shared" si="5"/>
        <v>287206</v>
      </c>
      <c r="Q16" s="325">
        <f t="shared" si="6"/>
        <v>3046470</v>
      </c>
      <c r="R16" s="578"/>
      <c r="S16" s="502"/>
      <c r="T16" s="502"/>
    </row>
    <row r="17" spans="1:20" ht="12.75">
      <c r="A17" s="8">
        <v>7</v>
      </c>
      <c r="B17" s="19" t="s">
        <v>479</v>
      </c>
      <c r="C17" s="19">
        <v>37862</v>
      </c>
      <c r="D17" s="19">
        <v>73</v>
      </c>
      <c r="E17" s="19">
        <v>0</v>
      </c>
      <c r="F17" s="19">
        <v>1291</v>
      </c>
      <c r="G17" s="19">
        <f t="shared" si="0"/>
        <v>39226</v>
      </c>
      <c r="H17" s="324">
        <v>29759</v>
      </c>
      <c r="I17" s="325">
        <v>49</v>
      </c>
      <c r="J17" s="325">
        <v>0</v>
      </c>
      <c r="K17" s="325">
        <v>916</v>
      </c>
      <c r="L17" s="325">
        <f t="shared" si="1"/>
        <v>30724</v>
      </c>
      <c r="M17" s="325">
        <f t="shared" si="2"/>
        <v>4850717</v>
      </c>
      <c r="N17" s="325">
        <f t="shared" si="3"/>
        <v>7987</v>
      </c>
      <c r="O17" s="325">
        <f t="shared" si="4"/>
        <v>0</v>
      </c>
      <c r="P17" s="325">
        <f t="shared" si="5"/>
        <v>149308</v>
      </c>
      <c r="Q17" s="325">
        <f t="shared" si="6"/>
        <v>5008012</v>
      </c>
      <c r="R17" s="578"/>
      <c r="S17" s="502"/>
      <c r="T17" s="502"/>
    </row>
    <row r="18" spans="1:20" ht="12.75">
      <c r="A18" s="8">
        <v>8</v>
      </c>
      <c r="B18" s="19" t="s">
        <v>480</v>
      </c>
      <c r="C18" s="19">
        <v>36307</v>
      </c>
      <c r="D18" s="19">
        <v>0</v>
      </c>
      <c r="E18" s="19">
        <v>0</v>
      </c>
      <c r="F18" s="19">
        <v>100</v>
      </c>
      <c r="G18" s="19">
        <f t="shared" si="0"/>
        <v>36407</v>
      </c>
      <c r="H18" s="324">
        <v>28535</v>
      </c>
      <c r="I18" s="325">
        <v>0</v>
      </c>
      <c r="J18" s="325">
        <v>0</v>
      </c>
      <c r="K18" s="325">
        <v>72</v>
      </c>
      <c r="L18" s="325">
        <f t="shared" si="1"/>
        <v>28607</v>
      </c>
      <c r="M18" s="325">
        <f t="shared" si="2"/>
        <v>4651205</v>
      </c>
      <c r="N18" s="325">
        <f t="shared" si="3"/>
        <v>0</v>
      </c>
      <c r="O18" s="325">
        <f t="shared" si="4"/>
        <v>0</v>
      </c>
      <c r="P18" s="325">
        <f t="shared" si="5"/>
        <v>11736</v>
      </c>
      <c r="Q18" s="325">
        <f t="shared" si="6"/>
        <v>4662941</v>
      </c>
      <c r="R18" s="578"/>
      <c r="S18" s="502"/>
      <c r="T18" s="502"/>
    </row>
    <row r="19" spans="1:20" s="15" customFormat="1" ht="12.75">
      <c r="A19" s="3"/>
      <c r="B19" s="27" t="s">
        <v>481</v>
      </c>
      <c r="C19" s="27">
        <f>SUM(C11:C18)</f>
        <v>251690</v>
      </c>
      <c r="D19" s="27">
        <f aca="true" t="shared" si="7" ref="D19:Q19">SUM(D11:D18)</f>
        <v>6128</v>
      </c>
      <c r="E19" s="27">
        <f t="shared" si="7"/>
        <v>0</v>
      </c>
      <c r="F19" s="27">
        <f t="shared" si="7"/>
        <v>8508</v>
      </c>
      <c r="G19" s="27">
        <f t="shared" si="7"/>
        <v>266326</v>
      </c>
      <c r="H19" s="27">
        <f t="shared" si="7"/>
        <v>197822</v>
      </c>
      <c r="I19" s="27">
        <f t="shared" si="7"/>
        <v>4104</v>
      </c>
      <c r="J19" s="27">
        <f t="shared" si="7"/>
        <v>0</v>
      </c>
      <c r="K19" s="27">
        <f t="shared" si="7"/>
        <v>6034</v>
      </c>
      <c r="L19" s="27">
        <f t="shared" si="7"/>
        <v>207960</v>
      </c>
      <c r="M19" s="27">
        <f t="shared" si="7"/>
        <v>32244986</v>
      </c>
      <c r="N19" s="27">
        <f t="shared" si="7"/>
        <v>668952</v>
      </c>
      <c r="O19" s="27">
        <f t="shared" si="7"/>
        <v>0</v>
      </c>
      <c r="P19" s="27">
        <f t="shared" si="7"/>
        <v>983542</v>
      </c>
      <c r="Q19" s="27">
        <f t="shared" si="7"/>
        <v>33897480</v>
      </c>
      <c r="R19" s="578"/>
      <c r="S19" s="502"/>
      <c r="T19" s="502"/>
    </row>
    <row r="20" spans="1:17" ht="12.75">
      <c r="A20" s="75"/>
      <c r="B20" s="21"/>
      <c r="C20" s="21"/>
      <c r="D20" s="21"/>
      <c r="E20" s="21"/>
      <c r="F20" s="21" t="s">
        <v>11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1" ht="12.75">
      <c r="A21" s="11" t="s">
        <v>8</v>
      </c>
      <c r="B21"/>
      <c r="C21"/>
      <c r="D21"/>
      <c r="H21" s="322"/>
      <c r="I21" s="322"/>
      <c r="J21" s="322"/>
      <c r="K21" s="322"/>
    </row>
    <row r="22" spans="1:12" ht="12.75">
      <c r="A22" t="s">
        <v>9</v>
      </c>
      <c r="B22"/>
      <c r="C22"/>
      <c r="D22"/>
      <c r="L22" s="16" t="s">
        <v>11</v>
      </c>
    </row>
    <row r="23" spans="1:12" ht="12.75">
      <c r="A23" t="s">
        <v>10</v>
      </c>
      <c r="B23"/>
      <c r="C23"/>
      <c r="D23"/>
      <c r="I23" s="12"/>
      <c r="J23" s="12"/>
      <c r="K23" s="12"/>
      <c r="L23" s="12"/>
    </row>
    <row r="24" spans="1:12" ht="12.75">
      <c r="A24" s="16" t="s">
        <v>430</v>
      </c>
      <c r="J24" s="12"/>
      <c r="K24" s="12"/>
      <c r="L24" s="12"/>
    </row>
    <row r="25" spans="3:13" ht="12.75">
      <c r="C25" s="16" t="s">
        <v>431</v>
      </c>
      <c r="E25" s="13"/>
      <c r="F25" s="13"/>
      <c r="G25" s="13"/>
      <c r="H25" s="13"/>
      <c r="I25" s="13"/>
      <c r="J25" s="13"/>
      <c r="K25" s="13"/>
      <c r="L25" s="13"/>
      <c r="M25" s="13"/>
    </row>
    <row r="26" spans="1:17" ht="15" customHeight="1">
      <c r="A26" s="15" t="s">
        <v>12</v>
      </c>
      <c r="B26" s="15"/>
      <c r="C26" s="15"/>
      <c r="D26" s="15"/>
      <c r="E26" s="15"/>
      <c r="F26" s="15"/>
      <c r="G26" s="15"/>
      <c r="H26" s="322"/>
      <c r="I26" s="322"/>
      <c r="J26" s="322"/>
      <c r="N26" s="699"/>
      <c r="O26" s="699"/>
      <c r="P26" s="699"/>
      <c r="Q26" s="699"/>
    </row>
    <row r="27" spans="2:17" ht="15" customHeight="1">
      <c r="B27" s="86"/>
      <c r="C27" s="86"/>
      <c r="D27" s="86"/>
      <c r="E27" s="86"/>
      <c r="F27" s="86"/>
      <c r="G27" s="86"/>
      <c r="H27" s="322"/>
      <c r="I27" s="322"/>
      <c r="J27" s="322"/>
      <c r="N27" s="699" t="s">
        <v>1062</v>
      </c>
      <c r="O27" s="699"/>
      <c r="P27" s="699"/>
      <c r="Q27" s="699"/>
    </row>
    <row r="28" spans="2:17" ht="12.75" customHeight="1">
      <c r="B28" s="86"/>
      <c r="C28" s="86"/>
      <c r="D28" s="86"/>
      <c r="E28" s="86"/>
      <c r="F28" s="86"/>
      <c r="G28" s="86"/>
      <c r="H28" s="322"/>
      <c r="I28" s="322"/>
      <c r="J28" s="322"/>
      <c r="N28" s="699" t="s">
        <v>485</v>
      </c>
      <c r="O28" s="699"/>
      <c r="P28" s="699"/>
      <c r="Q28" s="699"/>
    </row>
    <row r="29" spans="8:17" ht="12.75">
      <c r="H29" s="322"/>
      <c r="I29" s="322"/>
      <c r="J29" s="322"/>
      <c r="N29" s="29" t="s">
        <v>80</v>
      </c>
      <c r="O29" s="29"/>
      <c r="P29" s="29"/>
      <c r="Q29" s="29"/>
    </row>
    <row r="30" spans="1:12" ht="12.75">
      <c r="A30" s="447"/>
      <c r="B30" s="447"/>
      <c r="C30" s="447"/>
      <c r="D30" s="447"/>
      <c r="E30" s="447"/>
      <c r="F30" s="31"/>
      <c r="G30" s="447"/>
      <c r="H30" s="322"/>
      <c r="I30" s="322"/>
      <c r="J30" s="322"/>
      <c r="K30" s="31"/>
      <c r="L30" s="447"/>
    </row>
    <row r="31" spans="6:14" ht="12.75">
      <c r="F31" s="15"/>
      <c r="G31" s="322"/>
      <c r="H31" s="322"/>
      <c r="I31" s="322"/>
      <c r="J31" s="322"/>
      <c r="K31" s="505"/>
      <c r="L31" s="505"/>
      <c r="M31" s="15"/>
      <c r="N31" s="322"/>
    </row>
    <row r="32" spans="6:14" ht="12.75">
      <c r="F32" s="15"/>
      <c r="G32" s="322"/>
      <c r="H32" s="322"/>
      <c r="I32" s="322"/>
      <c r="J32" s="322"/>
      <c r="K32" s="505"/>
      <c r="L32" s="505"/>
      <c r="M32" s="15"/>
      <c r="N32" s="322"/>
    </row>
    <row r="33" spans="6:14" ht="12.75">
      <c r="F33" s="15"/>
      <c r="G33" s="322"/>
      <c r="H33" s="322"/>
      <c r="I33" s="322"/>
      <c r="J33" s="322"/>
      <c r="K33" s="505"/>
      <c r="L33" s="505"/>
      <c r="M33" s="15"/>
      <c r="N33" s="322"/>
    </row>
    <row r="34" spans="6:14" ht="12.75">
      <c r="F34" s="15"/>
      <c r="G34" s="322"/>
      <c r="H34" s="322"/>
      <c r="I34" s="338"/>
      <c r="J34" s="322"/>
      <c r="K34" s="505"/>
      <c r="L34" s="505"/>
      <c r="M34" s="15"/>
      <c r="N34" s="322"/>
    </row>
    <row r="35" spans="6:14" ht="12.75">
      <c r="F35" s="15"/>
      <c r="G35" s="322"/>
      <c r="K35" s="15"/>
      <c r="L35" s="505"/>
      <c r="M35" s="15"/>
      <c r="N35" s="322"/>
    </row>
    <row r="36" spans="8:11" ht="12.75">
      <c r="H36" s="322"/>
      <c r="I36" s="322"/>
      <c r="J36" s="322"/>
      <c r="K36" s="322"/>
    </row>
    <row r="37" spans="8:11" ht="12.75">
      <c r="H37" s="322"/>
      <c r="I37" s="322"/>
      <c r="J37" s="322"/>
      <c r="K37" s="322"/>
    </row>
    <row r="38" spans="8:11" ht="12.75">
      <c r="H38" s="322"/>
      <c r="I38" s="322"/>
      <c r="J38" s="322"/>
      <c r="K38" s="322"/>
    </row>
    <row r="39" spans="8:11" ht="12.75">
      <c r="H39" s="322"/>
      <c r="I39" s="322"/>
      <c r="J39" s="322"/>
      <c r="K39" s="322"/>
    </row>
    <row r="40" spans="8:11" ht="12.75">
      <c r="H40" s="322"/>
      <c r="I40" s="322"/>
      <c r="J40" s="322"/>
      <c r="K40" s="322"/>
    </row>
    <row r="41" spans="8:11" ht="12.75">
      <c r="H41" s="322"/>
      <c r="I41" s="322"/>
      <c r="J41" s="322"/>
      <c r="K41" s="322"/>
    </row>
  </sheetData>
  <sheetProtection/>
  <mergeCells count="14">
    <mergeCell ref="N28:Q28"/>
    <mergeCell ref="O1:Q1"/>
    <mergeCell ref="A8:A9"/>
    <mergeCell ref="B8:B9"/>
    <mergeCell ref="C8:G8"/>
    <mergeCell ref="H8:L8"/>
    <mergeCell ref="M8:Q8"/>
    <mergeCell ref="A2:Q2"/>
    <mergeCell ref="A3:Q3"/>
    <mergeCell ref="A5:Q5"/>
    <mergeCell ref="A7:B7"/>
    <mergeCell ref="N7:Q7"/>
    <mergeCell ref="N26:Q26"/>
    <mergeCell ref="N27:Q27"/>
  </mergeCells>
  <printOptions horizontalCentered="1"/>
  <pageMargins left="0.45" right="0.25" top="1.25" bottom="0" header="0.31496062992125984" footer="0.31496062992125984"/>
  <pageSetup fitToHeight="1" fitToWidth="1"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view="pageBreakPreview" zoomScaleSheetLayoutView="100" zoomScalePageLayoutView="0" workbookViewId="0" topLeftCell="B1">
      <selection activeCell="N29" sqref="N29:Q29"/>
    </sheetView>
  </sheetViews>
  <sheetFormatPr defaultColWidth="9.140625" defaultRowHeight="12.75"/>
  <cols>
    <col min="1" max="1" width="6.28125" style="16" customWidth="1"/>
    <col min="2" max="3" width="10.28125" style="16" customWidth="1"/>
    <col min="4" max="4" width="9.28125" style="16" customWidth="1"/>
    <col min="5" max="6" width="9.140625" style="16" customWidth="1"/>
    <col min="7" max="7" width="11.7109375" style="16" customWidth="1"/>
    <col min="8" max="8" width="11.00390625" style="16" customWidth="1"/>
    <col min="9" max="9" width="9.7109375" style="16" customWidth="1"/>
    <col min="10" max="10" width="9.57421875" style="16" customWidth="1"/>
    <col min="11" max="11" width="9.28125" style="16" customWidth="1"/>
    <col min="12" max="12" width="11.7109375" style="16" customWidth="1"/>
    <col min="13" max="13" width="10.28125" style="16" customWidth="1"/>
    <col min="14" max="14" width="8.7109375" style="16" customWidth="1"/>
    <col min="15" max="15" width="8.8515625" style="16" customWidth="1"/>
    <col min="16" max="16" width="9.140625" style="16" customWidth="1"/>
    <col min="17" max="17" width="11.00390625" style="16" customWidth="1"/>
    <col min="18" max="18" width="9.140625" style="16" hidden="1" customWidth="1"/>
    <col min="19" max="21" width="7.421875" style="16" customWidth="1"/>
    <col min="22" max="16384" width="9.140625" style="16" customWidth="1"/>
  </cols>
  <sheetData>
    <row r="1" spans="15:17" ht="12.75" customHeight="1">
      <c r="O1" s="675" t="s">
        <v>57</v>
      </c>
      <c r="P1" s="675"/>
      <c r="Q1" s="675"/>
    </row>
    <row r="2" spans="1:17" ht="15.75">
      <c r="A2" s="700" t="s">
        <v>0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0"/>
      <c r="O2" s="700"/>
      <c r="P2" s="700"/>
      <c r="Q2" s="700"/>
    </row>
    <row r="3" spans="1:17" ht="20.25">
      <c r="A3" s="701" t="s">
        <v>878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</row>
    <row r="4" ht="11.25" customHeight="1"/>
    <row r="5" spans="1:17" ht="15.75" customHeight="1">
      <c r="A5" s="773" t="s">
        <v>888</v>
      </c>
      <c r="B5" s="773"/>
      <c r="C5" s="773"/>
      <c r="D5" s="773"/>
      <c r="E5" s="773"/>
      <c r="F5" s="773"/>
      <c r="G5" s="773"/>
      <c r="H5" s="773"/>
      <c r="I5" s="773"/>
      <c r="J5" s="773"/>
      <c r="K5" s="773"/>
      <c r="L5" s="773"/>
      <c r="M5" s="773"/>
      <c r="N5" s="773"/>
      <c r="O5" s="773"/>
      <c r="P5" s="773"/>
      <c r="Q5" s="773"/>
    </row>
    <row r="7" spans="1:18" ht="12" customHeight="1">
      <c r="A7" s="668" t="s">
        <v>472</v>
      </c>
      <c r="B7" s="668"/>
      <c r="N7" s="763" t="s">
        <v>930</v>
      </c>
      <c r="O7" s="763"/>
      <c r="P7" s="763"/>
      <c r="Q7" s="763"/>
      <c r="R7" s="763"/>
    </row>
    <row r="8" spans="1:17" s="258" customFormat="1" ht="21" customHeight="1">
      <c r="A8" s="674" t="s">
        <v>2</v>
      </c>
      <c r="B8" s="674" t="s">
        <v>3</v>
      </c>
      <c r="C8" s="677" t="s">
        <v>934</v>
      </c>
      <c r="D8" s="677"/>
      <c r="E8" s="677"/>
      <c r="F8" s="727"/>
      <c r="G8" s="727"/>
      <c r="H8" s="729" t="s">
        <v>796</v>
      </c>
      <c r="I8" s="677"/>
      <c r="J8" s="677"/>
      <c r="K8" s="677"/>
      <c r="L8" s="677"/>
      <c r="M8" s="664" t="s">
        <v>105</v>
      </c>
      <c r="N8" s="775"/>
      <c r="O8" s="775"/>
      <c r="P8" s="775"/>
      <c r="Q8" s="665"/>
    </row>
    <row r="9" spans="1:19" s="258" customFormat="1" ht="48" customHeight="1">
      <c r="A9" s="674"/>
      <c r="B9" s="674"/>
      <c r="C9" s="257" t="s">
        <v>208</v>
      </c>
      <c r="D9" s="257" t="s">
        <v>209</v>
      </c>
      <c r="E9" s="257" t="s">
        <v>353</v>
      </c>
      <c r="F9" s="253" t="s">
        <v>215</v>
      </c>
      <c r="G9" s="253" t="s">
        <v>114</v>
      </c>
      <c r="H9" s="257" t="s">
        <v>208</v>
      </c>
      <c r="I9" s="257" t="s">
        <v>209</v>
      </c>
      <c r="J9" s="257" t="s">
        <v>353</v>
      </c>
      <c r="K9" s="257" t="s">
        <v>215</v>
      </c>
      <c r="L9" s="257" t="s">
        <v>115</v>
      </c>
      <c r="M9" s="257" t="s">
        <v>208</v>
      </c>
      <c r="N9" s="257" t="s">
        <v>209</v>
      </c>
      <c r="O9" s="257" t="s">
        <v>353</v>
      </c>
      <c r="P9" s="253" t="s">
        <v>215</v>
      </c>
      <c r="Q9" s="257" t="s">
        <v>116</v>
      </c>
      <c r="R9" s="275"/>
      <c r="S9" s="274"/>
    </row>
    <row r="10" spans="1:17" s="15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7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3">
        <v>14</v>
      </c>
      <c r="O10" s="1">
        <v>15</v>
      </c>
      <c r="P10" s="5">
        <v>16</v>
      </c>
      <c r="Q10" s="5">
        <v>17</v>
      </c>
    </row>
    <row r="11" spans="1:21" ht="12.75">
      <c r="A11" s="8">
        <v>1</v>
      </c>
      <c r="B11" s="19" t="s">
        <v>473</v>
      </c>
      <c r="C11" s="19">
        <v>28525</v>
      </c>
      <c r="D11" s="19">
        <v>4294</v>
      </c>
      <c r="E11" s="19">
        <v>0</v>
      </c>
      <c r="F11" s="25">
        <v>0</v>
      </c>
      <c r="G11" s="25">
        <f>SUM(C11:F11)</f>
        <v>32819</v>
      </c>
      <c r="H11" s="325">
        <v>21469</v>
      </c>
      <c r="I11" s="325">
        <v>2920</v>
      </c>
      <c r="J11" s="325">
        <v>0</v>
      </c>
      <c r="K11" s="325">
        <v>0</v>
      </c>
      <c r="L11" s="325">
        <f>SUM(H11:K11)</f>
        <v>24389</v>
      </c>
      <c r="M11" s="325">
        <f>H11*161</f>
        <v>3456509</v>
      </c>
      <c r="N11" s="325">
        <f>I11*161</f>
        <v>470120</v>
      </c>
      <c r="O11" s="325">
        <f>J11*161</f>
        <v>0</v>
      </c>
      <c r="P11" s="325">
        <f>K11*161</f>
        <v>0</v>
      </c>
      <c r="Q11" s="325">
        <f>SUM(M11:P11)</f>
        <v>3926629</v>
      </c>
      <c r="S11" s="322"/>
      <c r="T11" s="322"/>
      <c r="U11" s="322"/>
    </row>
    <row r="12" spans="1:21" ht="12.75">
      <c r="A12" s="8">
        <v>2</v>
      </c>
      <c r="B12" s="19" t="s">
        <v>474</v>
      </c>
      <c r="C12" s="19">
        <v>21938</v>
      </c>
      <c r="D12" s="19">
        <v>0</v>
      </c>
      <c r="E12" s="19">
        <v>0</v>
      </c>
      <c r="F12" s="25">
        <v>364</v>
      </c>
      <c r="G12" s="25">
        <f aca="true" t="shared" si="0" ref="G12:G18">SUM(C12:F12)</f>
        <v>22302</v>
      </c>
      <c r="H12" s="325">
        <v>16512</v>
      </c>
      <c r="I12" s="325">
        <v>0</v>
      </c>
      <c r="J12" s="325">
        <v>0</v>
      </c>
      <c r="K12" s="325">
        <v>267</v>
      </c>
      <c r="L12" s="325">
        <f aca="true" t="shared" si="1" ref="L12:L18">SUM(H12:K12)</f>
        <v>16779</v>
      </c>
      <c r="M12" s="325">
        <f aca="true" t="shared" si="2" ref="M12:M18">H12*161</f>
        <v>2658432</v>
      </c>
      <c r="N12" s="325">
        <f aca="true" t="shared" si="3" ref="N12:N18">I12*161</f>
        <v>0</v>
      </c>
      <c r="O12" s="325">
        <f aca="true" t="shared" si="4" ref="O12:O18">J12*161</f>
        <v>0</v>
      </c>
      <c r="P12" s="325">
        <f aca="true" t="shared" si="5" ref="P12:P18">K12*161</f>
        <v>42987</v>
      </c>
      <c r="Q12" s="325">
        <f aca="true" t="shared" si="6" ref="Q12:Q18">SUM(M12:P12)</f>
        <v>2701419</v>
      </c>
      <c r="S12" s="322"/>
      <c r="T12" s="322"/>
      <c r="U12" s="322"/>
    </row>
    <row r="13" spans="1:21" ht="12.75">
      <c r="A13" s="8">
        <v>3</v>
      </c>
      <c r="B13" s="19" t="s">
        <v>475</v>
      </c>
      <c r="C13" s="19">
        <v>13538</v>
      </c>
      <c r="D13" s="19">
        <v>204</v>
      </c>
      <c r="E13" s="19">
        <v>0</v>
      </c>
      <c r="F13" s="25">
        <v>0</v>
      </c>
      <c r="G13" s="25">
        <f t="shared" si="0"/>
        <v>13742</v>
      </c>
      <c r="H13" s="325">
        <v>10189</v>
      </c>
      <c r="I13" s="325">
        <v>139</v>
      </c>
      <c r="J13" s="325">
        <v>0</v>
      </c>
      <c r="K13" s="325">
        <v>0</v>
      </c>
      <c r="L13" s="325">
        <f t="shared" si="1"/>
        <v>10328</v>
      </c>
      <c r="M13" s="325">
        <f t="shared" si="2"/>
        <v>1640429</v>
      </c>
      <c r="N13" s="325">
        <f t="shared" si="3"/>
        <v>22379</v>
      </c>
      <c r="O13" s="325">
        <f t="shared" si="4"/>
        <v>0</v>
      </c>
      <c r="P13" s="325">
        <f t="shared" si="5"/>
        <v>0</v>
      </c>
      <c r="Q13" s="325">
        <f t="shared" si="6"/>
        <v>1662808</v>
      </c>
      <c r="S13" s="322"/>
      <c r="T13" s="322"/>
      <c r="U13" s="322"/>
    </row>
    <row r="14" spans="1:21" ht="12.75">
      <c r="A14" s="8">
        <v>4</v>
      </c>
      <c r="B14" s="19" t="s">
        <v>476</v>
      </c>
      <c r="C14" s="19">
        <v>19097</v>
      </c>
      <c r="D14" s="19">
        <v>428</v>
      </c>
      <c r="E14" s="19">
        <v>0</v>
      </c>
      <c r="F14" s="25">
        <v>41</v>
      </c>
      <c r="G14" s="25">
        <f t="shared" si="0"/>
        <v>19566</v>
      </c>
      <c r="H14" s="325">
        <v>14373</v>
      </c>
      <c r="I14" s="325">
        <v>291</v>
      </c>
      <c r="J14" s="325">
        <v>0</v>
      </c>
      <c r="K14" s="325">
        <v>30</v>
      </c>
      <c r="L14" s="325">
        <f t="shared" si="1"/>
        <v>14694</v>
      </c>
      <c r="M14" s="325">
        <f t="shared" si="2"/>
        <v>2314053</v>
      </c>
      <c r="N14" s="325">
        <f t="shared" si="3"/>
        <v>46851</v>
      </c>
      <c r="O14" s="325">
        <f t="shared" si="4"/>
        <v>0</v>
      </c>
      <c r="P14" s="325">
        <f t="shared" si="5"/>
        <v>4830</v>
      </c>
      <c r="Q14" s="325">
        <f t="shared" si="6"/>
        <v>2365734</v>
      </c>
      <c r="S14" s="322"/>
      <c r="T14" s="322"/>
      <c r="U14" s="322"/>
    </row>
    <row r="15" spans="1:21" ht="12.75">
      <c r="A15" s="8">
        <v>5</v>
      </c>
      <c r="B15" s="19" t="s">
        <v>477</v>
      </c>
      <c r="C15" s="19">
        <v>21195</v>
      </c>
      <c r="D15" s="19">
        <v>434</v>
      </c>
      <c r="E15" s="19">
        <v>0</v>
      </c>
      <c r="F15" s="25">
        <v>0</v>
      </c>
      <c r="G15" s="25">
        <f t="shared" si="0"/>
        <v>21629</v>
      </c>
      <c r="H15" s="325">
        <v>15952</v>
      </c>
      <c r="I15" s="325">
        <v>295</v>
      </c>
      <c r="J15" s="325">
        <v>0</v>
      </c>
      <c r="K15" s="325">
        <v>0</v>
      </c>
      <c r="L15" s="325">
        <f t="shared" si="1"/>
        <v>16247</v>
      </c>
      <c r="M15" s="325">
        <f t="shared" si="2"/>
        <v>2568272</v>
      </c>
      <c r="N15" s="325">
        <f t="shared" si="3"/>
        <v>47495</v>
      </c>
      <c r="O15" s="325">
        <f t="shared" si="4"/>
        <v>0</v>
      </c>
      <c r="P15" s="325">
        <f t="shared" si="5"/>
        <v>0</v>
      </c>
      <c r="Q15" s="325">
        <f t="shared" si="6"/>
        <v>2615767</v>
      </c>
      <c r="S15" s="322"/>
      <c r="T15" s="322"/>
      <c r="U15" s="322"/>
    </row>
    <row r="16" spans="1:21" ht="12.75">
      <c r="A16" s="8">
        <v>6</v>
      </c>
      <c r="B16" s="19" t="s">
        <v>478</v>
      </c>
      <c r="C16" s="19">
        <v>14298</v>
      </c>
      <c r="D16" s="19">
        <v>667</v>
      </c>
      <c r="E16" s="19">
        <v>0</v>
      </c>
      <c r="F16" s="25">
        <v>229</v>
      </c>
      <c r="G16" s="25">
        <f t="shared" si="0"/>
        <v>15194</v>
      </c>
      <c r="H16" s="325">
        <v>10761</v>
      </c>
      <c r="I16" s="325">
        <v>454</v>
      </c>
      <c r="J16" s="325">
        <v>0</v>
      </c>
      <c r="K16" s="325">
        <v>168</v>
      </c>
      <c r="L16" s="325">
        <f t="shared" si="1"/>
        <v>11383</v>
      </c>
      <c r="M16" s="325">
        <f t="shared" si="2"/>
        <v>1732521</v>
      </c>
      <c r="N16" s="325">
        <f t="shared" si="3"/>
        <v>73094</v>
      </c>
      <c r="O16" s="325">
        <f t="shared" si="4"/>
        <v>0</v>
      </c>
      <c r="P16" s="325">
        <f t="shared" si="5"/>
        <v>27048</v>
      </c>
      <c r="Q16" s="325">
        <f t="shared" si="6"/>
        <v>1832663</v>
      </c>
      <c r="S16" s="322"/>
      <c r="T16" s="322"/>
      <c r="U16" s="322"/>
    </row>
    <row r="17" spans="1:21" ht="12.75">
      <c r="A17" s="8">
        <v>7</v>
      </c>
      <c r="B17" s="19" t="s">
        <v>479</v>
      </c>
      <c r="C17" s="19">
        <v>20280</v>
      </c>
      <c r="D17" s="19">
        <v>578</v>
      </c>
      <c r="E17" s="19">
        <v>0</v>
      </c>
      <c r="F17" s="25">
        <v>279</v>
      </c>
      <c r="G17" s="25">
        <f t="shared" si="0"/>
        <v>21137</v>
      </c>
      <c r="H17" s="325">
        <v>15264</v>
      </c>
      <c r="I17" s="325">
        <v>393</v>
      </c>
      <c r="J17" s="325">
        <v>0</v>
      </c>
      <c r="K17" s="325">
        <v>205</v>
      </c>
      <c r="L17" s="325">
        <f t="shared" si="1"/>
        <v>15862</v>
      </c>
      <c r="M17" s="325">
        <f t="shared" si="2"/>
        <v>2457504</v>
      </c>
      <c r="N17" s="325">
        <f t="shared" si="3"/>
        <v>63273</v>
      </c>
      <c r="O17" s="325">
        <f t="shared" si="4"/>
        <v>0</v>
      </c>
      <c r="P17" s="325">
        <f t="shared" si="5"/>
        <v>33005</v>
      </c>
      <c r="Q17" s="325">
        <f t="shared" si="6"/>
        <v>2553782</v>
      </c>
      <c r="S17" s="322"/>
      <c r="T17" s="322"/>
      <c r="U17" s="322"/>
    </row>
    <row r="18" spans="1:21" ht="12.75">
      <c r="A18" s="8">
        <v>8</v>
      </c>
      <c r="B18" s="19" t="s">
        <v>480</v>
      </c>
      <c r="C18" s="19">
        <v>19410</v>
      </c>
      <c r="D18" s="19">
        <v>154</v>
      </c>
      <c r="E18" s="19">
        <v>0</v>
      </c>
      <c r="F18" s="25">
        <v>0</v>
      </c>
      <c r="G18" s="25">
        <f t="shared" si="0"/>
        <v>19564</v>
      </c>
      <c r="H18" s="325">
        <v>14610</v>
      </c>
      <c r="I18" s="325">
        <v>105</v>
      </c>
      <c r="J18" s="325">
        <v>0</v>
      </c>
      <c r="K18" s="325">
        <v>0</v>
      </c>
      <c r="L18" s="325">
        <f t="shared" si="1"/>
        <v>14715</v>
      </c>
      <c r="M18" s="325">
        <f t="shared" si="2"/>
        <v>2352210</v>
      </c>
      <c r="N18" s="325">
        <f t="shared" si="3"/>
        <v>16905</v>
      </c>
      <c r="O18" s="325">
        <f t="shared" si="4"/>
        <v>0</v>
      </c>
      <c r="P18" s="325">
        <f t="shared" si="5"/>
        <v>0</v>
      </c>
      <c r="Q18" s="325">
        <f t="shared" si="6"/>
        <v>2369115</v>
      </c>
      <c r="S18" s="322"/>
      <c r="T18" s="322"/>
      <c r="U18" s="322"/>
    </row>
    <row r="19" spans="1:21" s="15" customFormat="1" ht="12.75">
      <c r="A19" s="3"/>
      <c r="B19" s="27" t="s">
        <v>481</v>
      </c>
      <c r="C19" s="27">
        <f>SUM(C11:C18)</f>
        <v>158281</v>
      </c>
      <c r="D19" s="27">
        <f aca="true" t="shared" si="7" ref="D19:Q19">SUM(D11:D18)</f>
        <v>6759</v>
      </c>
      <c r="E19" s="27">
        <f t="shared" si="7"/>
        <v>0</v>
      </c>
      <c r="F19" s="27">
        <f t="shared" si="7"/>
        <v>913</v>
      </c>
      <c r="G19" s="27">
        <f t="shared" si="7"/>
        <v>165953</v>
      </c>
      <c r="H19" s="27">
        <f t="shared" si="7"/>
        <v>119130</v>
      </c>
      <c r="I19" s="27">
        <f t="shared" si="7"/>
        <v>4597</v>
      </c>
      <c r="J19" s="27">
        <f t="shared" si="7"/>
        <v>0</v>
      </c>
      <c r="K19" s="27">
        <f t="shared" si="7"/>
        <v>670</v>
      </c>
      <c r="L19" s="27">
        <f t="shared" si="7"/>
        <v>124397</v>
      </c>
      <c r="M19" s="481">
        <f t="shared" si="7"/>
        <v>19179930</v>
      </c>
      <c r="N19" s="481">
        <f t="shared" si="7"/>
        <v>740117</v>
      </c>
      <c r="O19" s="481">
        <f t="shared" si="7"/>
        <v>0</v>
      </c>
      <c r="P19" s="481">
        <f t="shared" si="7"/>
        <v>107870</v>
      </c>
      <c r="Q19" s="481">
        <f t="shared" si="7"/>
        <v>20027917</v>
      </c>
      <c r="S19" s="322"/>
      <c r="T19" s="322"/>
      <c r="U19" s="322"/>
    </row>
    <row r="20" spans="1:17" ht="12.75">
      <c r="A20" s="75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502"/>
    </row>
    <row r="21" spans="1:11" ht="12.75">
      <c r="A21" s="11" t="s">
        <v>8</v>
      </c>
      <c r="B21"/>
      <c r="C21"/>
      <c r="D21"/>
      <c r="G21" s="16" t="s">
        <v>11</v>
      </c>
      <c r="H21" s="322"/>
      <c r="I21" s="322"/>
      <c r="J21" s="545"/>
      <c r="K21" s="322"/>
    </row>
    <row r="22" spans="1:4" ht="12.75">
      <c r="A22" t="s">
        <v>9</v>
      </c>
      <c r="B22"/>
      <c r="C22"/>
      <c r="D22"/>
    </row>
    <row r="23" spans="1:12" ht="12.75">
      <c r="A23" t="s">
        <v>10</v>
      </c>
      <c r="B23"/>
      <c r="C23"/>
      <c r="D23"/>
      <c r="I23" s="12"/>
      <c r="J23" s="12"/>
      <c r="K23" s="12"/>
      <c r="L23" s="12"/>
    </row>
    <row r="24" spans="1:12" ht="12.75">
      <c r="A24" s="16" t="s">
        <v>430</v>
      </c>
      <c r="J24" s="12"/>
      <c r="K24" s="12"/>
      <c r="L24" s="12"/>
    </row>
    <row r="25" spans="3:13" ht="12.75">
      <c r="C25" s="16" t="s">
        <v>432</v>
      </c>
      <c r="E25" s="13"/>
      <c r="F25" s="13"/>
      <c r="G25" s="13"/>
      <c r="H25" s="13"/>
      <c r="I25" s="13"/>
      <c r="J25" s="13"/>
      <c r="K25" s="13"/>
      <c r="L25" s="13"/>
      <c r="M25" s="13"/>
    </row>
    <row r="26" spans="8:10" ht="12.75">
      <c r="H26" s="322"/>
      <c r="I26" s="322"/>
      <c r="J26" s="322"/>
    </row>
    <row r="27" spans="1:17" ht="15" customHeight="1">
      <c r="A27" s="15" t="s">
        <v>12</v>
      </c>
      <c r="B27" s="15"/>
      <c r="C27" s="15"/>
      <c r="D27" s="15"/>
      <c r="E27" s="15"/>
      <c r="F27" s="15"/>
      <c r="G27" s="15"/>
      <c r="H27" s="322"/>
      <c r="I27" s="322"/>
      <c r="J27" s="322"/>
      <c r="N27" s="699"/>
      <c r="O27" s="699"/>
      <c r="P27" s="699"/>
      <c r="Q27" s="699"/>
    </row>
    <row r="28" spans="2:17" ht="15" customHeight="1">
      <c r="B28" s="86"/>
      <c r="C28" s="86"/>
      <c r="D28" s="86"/>
      <c r="E28" s="86"/>
      <c r="F28" s="86"/>
      <c r="G28" s="86"/>
      <c r="H28" s="322"/>
      <c r="I28" s="322"/>
      <c r="J28" s="322"/>
      <c r="K28" s="16" t="s">
        <v>11</v>
      </c>
      <c r="N28" s="699" t="s">
        <v>1062</v>
      </c>
      <c r="O28" s="699"/>
      <c r="P28" s="699"/>
      <c r="Q28" s="699"/>
    </row>
    <row r="29" spans="2:17" ht="12.75" customHeight="1">
      <c r="B29" s="86"/>
      <c r="C29" s="86"/>
      <c r="D29" s="86"/>
      <c r="E29" s="86"/>
      <c r="F29" s="86"/>
      <c r="G29" s="86"/>
      <c r="H29" s="322"/>
      <c r="I29" s="322"/>
      <c r="J29" s="322"/>
      <c r="N29" s="699" t="s">
        <v>485</v>
      </c>
      <c r="O29" s="699"/>
      <c r="P29" s="699"/>
      <c r="Q29" s="699"/>
    </row>
    <row r="30" spans="8:17" ht="12.75">
      <c r="H30" s="322"/>
      <c r="I30" s="322"/>
      <c r="J30" s="322"/>
      <c r="N30" s="29" t="s">
        <v>80</v>
      </c>
      <c r="O30" s="29"/>
      <c r="P30" s="29"/>
      <c r="Q30" s="29"/>
    </row>
    <row r="31" spans="1:13" ht="12.75">
      <c r="A31" s="447"/>
      <c r="B31" s="447"/>
      <c r="C31" s="447"/>
      <c r="D31" s="447"/>
      <c r="E31" s="447"/>
      <c r="F31" s="447"/>
      <c r="G31" s="31"/>
      <c r="H31" s="322"/>
      <c r="I31" s="322"/>
      <c r="J31" s="322"/>
      <c r="K31" s="447"/>
      <c r="L31" s="31"/>
      <c r="M31" s="447"/>
    </row>
    <row r="32" spans="7:15" ht="12.75">
      <c r="G32" s="15"/>
      <c r="H32" s="322"/>
      <c r="I32" s="322"/>
      <c r="J32" s="322"/>
      <c r="K32" s="322"/>
      <c r="L32" s="505"/>
      <c r="M32" s="505"/>
      <c r="N32" s="15"/>
      <c r="O32" s="322"/>
    </row>
    <row r="33" spans="7:15" ht="12.75">
      <c r="G33" s="15"/>
      <c r="H33" s="322"/>
      <c r="I33" s="322"/>
      <c r="J33" s="322"/>
      <c r="K33" s="322"/>
      <c r="L33" s="505"/>
      <c r="M33" s="505"/>
      <c r="N33" s="15"/>
      <c r="O33" s="322"/>
    </row>
    <row r="34" spans="7:15" ht="12.75">
      <c r="G34" s="15"/>
      <c r="I34" s="322"/>
      <c r="J34" s="338"/>
      <c r="K34" s="322"/>
      <c r="L34" s="505"/>
      <c r="M34" s="505"/>
      <c r="N34" s="15"/>
      <c r="O34" s="322"/>
    </row>
    <row r="35" spans="7:15" ht="12.75">
      <c r="G35" s="15"/>
      <c r="L35" s="15"/>
      <c r="M35" s="505"/>
      <c r="N35" s="15"/>
      <c r="O35" s="322"/>
    </row>
    <row r="36" spans="8:11" ht="12.75">
      <c r="H36" s="482"/>
      <c r="I36" s="482"/>
      <c r="J36" s="322"/>
      <c r="K36" s="447"/>
    </row>
    <row r="37" spans="8:11" ht="12.75">
      <c r="H37" s="482"/>
      <c r="I37" s="482"/>
      <c r="J37" s="322"/>
      <c r="K37" s="447"/>
    </row>
    <row r="38" spans="8:11" ht="12.75">
      <c r="H38" s="322"/>
      <c r="I38" s="322"/>
      <c r="J38" s="322"/>
      <c r="K38" s="322"/>
    </row>
  </sheetData>
  <sheetProtection/>
  <mergeCells count="14">
    <mergeCell ref="N29:Q29"/>
    <mergeCell ref="O1:Q1"/>
    <mergeCell ref="M8:Q8"/>
    <mergeCell ref="A8:A9"/>
    <mergeCell ref="B8:B9"/>
    <mergeCell ref="A7:B7"/>
    <mergeCell ref="A2:Q2"/>
    <mergeCell ref="A3:Q3"/>
    <mergeCell ref="A5:Q5"/>
    <mergeCell ref="N7:R7"/>
    <mergeCell ref="C8:G8"/>
    <mergeCell ref="H8:L8"/>
    <mergeCell ref="N27:Q27"/>
    <mergeCell ref="N28:Q28"/>
  </mergeCells>
  <printOptions horizontalCentered="1"/>
  <pageMargins left="0.45" right="0.21" top="1.33" bottom="0" header="0.31496062992125984" footer="0.31496062992125984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.7109375" style="0" customWidth="1"/>
    <col min="2" max="7" width="20.7109375" style="0" customWidth="1"/>
  </cols>
  <sheetData>
    <row r="1" ht="15">
      <c r="G1" s="181" t="s">
        <v>765</v>
      </c>
    </row>
    <row r="2" spans="1:7" ht="18">
      <c r="A2" s="760" t="s">
        <v>0</v>
      </c>
      <c r="B2" s="760"/>
      <c r="C2" s="760"/>
      <c r="D2" s="760"/>
      <c r="E2" s="760"/>
      <c r="F2" s="760"/>
      <c r="G2" s="760"/>
    </row>
    <row r="3" spans="1:7" ht="21">
      <c r="A3" s="761" t="s">
        <v>878</v>
      </c>
      <c r="B3" s="761"/>
      <c r="C3" s="761"/>
      <c r="D3" s="761"/>
      <c r="E3" s="761"/>
      <c r="F3" s="761"/>
      <c r="G3" s="761"/>
    </row>
    <row r="4" spans="1:2" ht="11.25" customHeight="1">
      <c r="A4" s="183"/>
      <c r="B4" s="183"/>
    </row>
    <row r="5" spans="1:7" ht="18" customHeight="1">
      <c r="A5" s="762" t="s">
        <v>766</v>
      </c>
      <c r="B5" s="762"/>
      <c r="C5" s="762"/>
      <c r="D5" s="762"/>
      <c r="E5" s="762"/>
      <c r="F5" s="762"/>
      <c r="G5" s="762"/>
    </row>
    <row r="6" spans="1:7" ht="9" customHeight="1">
      <c r="A6" s="517"/>
      <c r="B6" s="517"/>
      <c r="C6" s="517"/>
      <c r="D6" s="517"/>
      <c r="E6" s="517"/>
      <c r="F6" s="517"/>
      <c r="G6" s="517"/>
    </row>
    <row r="7" spans="1:2" ht="12.75">
      <c r="A7" s="668" t="s">
        <v>472</v>
      </c>
      <c r="B7" s="668"/>
    </row>
    <row r="8" spans="1:7" ht="15">
      <c r="A8" s="184"/>
      <c r="B8" s="184"/>
      <c r="F8" s="776" t="s">
        <v>932</v>
      </c>
      <c r="G8" s="776"/>
    </row>
    <row r="9" spans="1:7" ht="35.25" customHeight="1">
      <c r="A9" s="265" t="s">
        <v>70</v>
      </c>
      <c r="B9" s="265" t="s">
        <v>3</v>
      </c>
      <c r="C9" s="266" t="s">
        <v>767</v>
      </c>
      <c r="D9" s="266" t="s">
        <v>768</v>
      </c>
      <c r="E9" s="266" t="s">
        <v>769</v>
      </c>
      <c r="F9" s="266" t="s">
        <v>770</v>
      </c>
      <c r="G9" s="522" t="s">
        <v>771</v>
      </c>
    </row>
    <row r="10" spans="1:7" s="181" customFormat="1" ht="15">
      <c r="A10" s="185" t="s">
        <v>260</v>
      </c>
      <c r="B10" s="185" t="s">
        <v>261</v>
      </c>
      <c r="C10" s="185" t="s">
        <v>262</v>
      </c>
      <c r="D10" s="185" t="s">
        <v>263</v>
      </c>
      <c r="E10" s="185" t="s">
        <v>264</v>
      </c>
      <c r="F10" s="185" t="s">
        <v>265</v>
      </c>
      <c r="G10" s="185" t="s">
        <v>266</v>
      </c>
    </row>
    <row r="11" spans="1:7" ht="18.75" customHeight="1">
      <c r="A11" s="271">
        <v>1</v>
      </c>
      <c r="B11" s="276" t="s">
        <v>473</v>
      </c>
      <c r="C11" s="523">
        <f>'enrolment vs availed_PY'!G11+'enrolment vs availed_UPY'!G11</f>
        <v>83364</v>
      </c>
      <c r="D11" s="523">
        <v>74652</v>
      </c>
      <c r="E11" s="523">
        <v>4176</v>
      </c>
      <c r="F11" s="636">
        <f>C11-(D11+E11)</f>
        <v>4536</v>
      </c>
      <c r="G11" s="271" t="s">
        <v>509</v>
      </c>
    </row>
    <row r="12" spans="1:7" ht="18.75" customHeight="1">
      <c r="A12" s="271">
        <v>2</v>
      </c>
      <c r="B12" s="276" t="s">
        <v>474</v>
      </c>
      <c r="C12" s="523">
        <f>'enrolment vs availed_PY'!G12+'enrolment vs availed_UPY'!G12</f>
        <v>56494</v>
      </c>
      <c r="D12" s="523">
        <v>53891</v>
      </c>
      <c r="E12" s="523">
        <v>573</v>
      </c>
      <c r="F12" s="636">
        <f aca="true" t="shared" si="0" ref="F12:F18">C12-(D12+E12)</f>
        <v>2030</v>
      </c>
      <c r="G12" s="271" t="s">
        <v>509</v>
      </c>
    </row>
    <row r="13" spans="1:7" ht="18.75" customHeight="1">
      <c r="A13" s="271">
        <v>3</v>
      </c>
      <c r="B13" s="276" t="s">
        <v>475</v>
      </c>
      <c r="C13" s="523">
        <f>'enrolment vs availed_PY'!G13+'enrolment vs availed_UPY'!G13</f>
        <v>34617</v>
      </c>
      <c r="D13" s="523">
        <v>30896</v>
      </c>
      <c r="E13" s="523">
        <v>2643</v>
      </c>
      <c r="F13" s="636">
        <f t="shared" si="0"/>
        <v>1078</v>
      </c>
      <c r="G13" s="271" t="s">
        <v>509</v>
      </c>
    </row>
    <row r="14" spans="1:7" ht="18.75" customHeight="1">
      <c r="A14" s="271">
        <v>4</v>
      </c>
      <c r="B14" s="276" t="s">
        <v>476</v>
      </c>
      <c r="C14" s="523">
        <f>'enrolment vs availed_PY'!G14+'enrolment vs availed_UPY'!G14</f>
        <v>49740</v>
      </c>
      <c r="D14" s="523">
        <v>44982</v>
      </c>
      <c r="E14" s="523">
        <v>3295</v>
      </c>
      <c r="F14" s="636">
        <f t="shared" si="0"/>
        <v>1463</v>
      </c>
      <c r="G14" s="271" t="s">
        <v>509</v>
      </c>
    </row>
    <row r="15" spans="1:7" ht="18.75" customHeight="1">
      <c r="A15" s="271">
        <v>5</v>
      </c>
      <c r="B15" s="276" t="s">
        <v>477</v>
      </c>
      <c r="C15" s="523">
        <f>'enrolment vs availed_PY'!G15+'enrolment vs availed_UPY'!G15</f>
        <v>52447</v>
      </c>
      <c r="D15" s="523">
        <v>47744</v>
      </c>
      <c r="E15" s="523">
        <v>3823</v>
      </c>
      <c r="F15" s="636">
        <f t="shared" si="0"/>
        <v>880</v>
      </c>
      <c r="G15" s="271" t="s">
        <v>509</v>
      </c>
    </row>
    <row r="16" spans="1:7" ht="18.75" customHeight="1">
      <c r="A16" s="271">
        <v>6</v>
      </c>
      <c r="B16" s="276" t="s">
        <v>478</v>
      </c>
      <c r="C16" s="523">
        <f>'enrolment vs availed_PY'!G16+'enrolment vs availed_UPY'!G16</f>
        <v>39283</v>
      </c>
      <c r="D16" s="523">
        <v>38773</v>
      </c>
      <c r="E16" s="523">
        <v>510</v>
      </c>
      <c r="F16" s="636">
        <f t="shared" si="0"/>
        <v>0</v>
      </c>
      <c r="G16" s="271" t="s">
        <v>509</v>
      </c>
    </row>
    <row r="17" spans="1:7" ht="18.75" customHeight="1">
      <c r="A17" s="271">
        <v>7</v>
      </c>
      <c r="B17" s="276" t="s">
        <v>479</v>
      </c>
      <c r="C17" s="523">
        <f>'enrolment vs availed_PY'!G17+'enrolment vs availed_UPY'!G17</f>
        <v>60363</v>
      </c>
      <c r="D17" s="523">
        <v>56436</v>
      </c>
      <c r="E17" s="523">
        <v>2864</v>
      </c>
      <c r="F17" s="636">
        <f t="shared" si="0"/>
        <v>1063</v>
      </c>
      <c r="G17" s="271" t="s">
        <v>509</v>
      </c>
    </row>
    <row r="18" spans="1:7" ht="18.75" customHeight="1">
      <c r="A18" s="271">
        <v>8</v>
      </c>
      <c r="B18" s="276" t="s">
        <v>480</v>
      </c>
      <c r="C18" s="523">
        <f>'enrolment vs availed_PY'!G18+'enrolment vs availed_UPY'!G18</f>
        <v>55971</v>
      </c>
      <c r="D18" s="523">
        <v>54863</v>
      </c>
      <c r="E18" s="523">
        <v>0</v>
      </c>
      <c r="F18" s="636">
        <f t="shared" si="0"/>
        <v>1108</v>
      </c>
      <c r="G18" s="271" t="s">
        <v>509</v>
      </c>
    </row>
    <row r="19" spans="1:8" ht="18.75" customHeight="1">
      <c r="A19" s="158"/>
      <c r="B19" s="275" t="s">
        <v>481</v>
      </c>
      <c r="C19" s="524">
        <f>SUM(C11:C18)</f>
        <v>432279</v>
      </c>
      <c r="D19" s="524">
        <f>SUM(D11:D18)</f>
        <v>402237</v>
      </c>
      <c r="E19" s="524">
        <f>SUM(E11:E18)</f>
        <v>17884</v>
      </c>
      <c r="F19" s="637">
        <f>SUM(F11:F18)</f>
        <v>12158</v>
      </c>
      <c r="G19" s="529" t="s">
        <v>509</v>
      </c>
      <c r="H19" t="s">
        <v>11</v>
      </c>
    </row>
    <row r="20" ht="12.75">
      <c r="D20" s="16" t="s">
        <v>11</v>
      </c>
    </row>
    <row r="23" spans="1:9" ht="15" customHeight="1">
      <c r="A23" s="520"/>
      <c r="B23" s="520"/>
      <c r="C23" s="520"/>
      <c r="D23" s="520"/>
      <c r="E23" s="699"/>
      <c r="F23" s="699"/>
      <c r="G23" s="699"/>
      <c r="H23" s="699"/>
      <c r="I23" s="521"/>
    </row>
    <row r="24" spans="1:9" ht="15" customHeight="1">
      <c r="A24" s="520"/>
      <c r="B24" s="520"/>
      <c r="C24" s="520"/>
      <c r="D24" s="520"/>
      <c r="E24" s="699" t="s">
        <v>1062</v>
      </c>
      <c r="F24" s="699"/>
      <c r="G24" s="699"/>
      <c r="H24" s="699"/>
      <c r="I24" s="521"/>
    </row>
    <row r="25" spans="1:9" ht="15" customHeight="1">
      <c r="A25" s="520"/>
      <c r="B25" s="520"/>
      <c r="C25" s="520"/>
      <c r="D25" s="520"/>
      <c r="E25" s="699" t="s">
        <v>485</v>
      </c>
      <c r="F25" s="699"/>
      <c r="G25" s="699"/>
      <c r="H25" s="699"/>
      <c r="I25" s="521"/>
    </row>
    <row r="26" spans="1:9" ht="12.75">
      <c r="A26" s="520" t="s">
        <v>12</v>
      </c>
      <c r="C26" s="520"/>
      <c r="D26" s="520"/>
      <c r="F26" s="29" t="s">
        <v>80</v>
      </c>
      <c r="G26" s="29"/>
      <c r="H26" s="29"/>
      <c r="I26" s="520"/>
    </row>
  </sheetData>
  <sheetProtection/>
  <mergeCells count="8">
    <mergeCell ref="E25:H25"/>
    <mergeCell ref="A2:G2"/>
    <mergeCell ref="A3:G3"/>
    <mergeCell ref="A5:G5"/>
    <mergeCell ref="A7:B7"/>
    <mergeCell ref="E23:H23"/>
    <mergeCell ref="E24:H24"/>
    <mergeCell ref="F8:G8"/>
  </mergeCells>
  <printOptions/>
  <pageMargins left="0.79" right="0.54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SheetLayoutView="100" zoomScalePageLayoutView="0" workbookViewId="0" topLeftCell="A4">
      <selection activeCell="K21" sqref="K21"/>
    </sheetView>
  </sheetViews>
  <sheetFormatPr defaultColWidth="9.140625" defaultRowHeight="12.75"/>
  <cols>
    <col min="1" max="1" width="5.28125" style="16" customWidth="1"/>
    <col min="2" max="2" width="12.8515625" style="16" customWidth="1"/>
    <col min="3" max="3" width="11.00390625" style="16" customWidth="1"/>
    <col min="4" max="4" width="10.00390625" style="16" customWidth="1"/>
    <col min="5" max="5" width="14.28125" style="16" customWidth="1"/>
    <col min="6" max="6" width="15.00390625" style="16" customWidth="1"/>
    <col min="7" max="7" width="13.28125" style="16" customWidth="1"/>
    <col min="8" max="8" width="14.7109375" style="16" customWidth="1"/>
    <col min="9" max="9" width="16.7109375" style="16" customWidth="1"/>
    <col min="10" max="10" width="19.28125" style="16" customWidth="1"/>
    <col min="11" max="11" width="9.140625" style="16" customWidth="1"/>
    <col min="12" max="12" width="10.8515625" style="16" bestFit="1" customWidth="1"/>
    <col min="13" max="16384" width="9.140625" style="16" customWidth="1"/>
  </cols>
  <sheetData>
    <row r="1" spans="5:10" ht="12.75">
      <c r="E1" s="676"/>
      <c r="F1" s="676"/>
      <c r="G1" s="676"/>
      <c r="H1" s="676"/>
      <c r="I1" s="676"/>
      <c r="J1" s="49" t="s">
        <v>58</v>
      </c>
    </row>
    <row r="2" spans="1:10" ht="15">
      <c r="A2" s="772" t="s">
        <v>0</v>
      </c>
      <c r="B2" s="772"/>
      <c r="C2" s="772"/>
      <c r="D2" s="772"/>
      <c r="E2" s="772"/>
      <c r="F2" s="772"/>
      <c r="G2" s="772"/>
      <c r="H2" s="772"/>
      <c r="I2" s="772"/>
      <c r="J2" s="772"/>
    </row>
    <row r="3" spans="1:10" ht="20.25">
      <c r="A3" s="701" t="s">
        <v>878</v>
      </c>
      <c r="B3" s="701"/>
      <c r="C3" s="701"/>
      <c r="D3" s="701"/>
      <c r="E3" s="701"/>
      <c r="F3" s="701"/>
      <c r="G3" s="701"/>
      <c r="H3" s="701"/>
      <c r="I3" s="701"/>
      <c r="J3" s="701"/>
    </row>
    <row r="4" ht="14.25" customHeight="1"/>
    <row r="5" spans="1:10" ht="31.5" customHeight="1">
      <c r="A5" s="773" t="s">
        <v>889</v>
      </c>
      <c r="B5" s="773"/>
      <c r="C5" s="773"/>
      <c r="D5" s="773"/>
      <c r="E5" s="773"/>
      <c r="F5" s="773"/>
      <c r="G5" s="773"/>
      <c r="H5" s="773"/>
      <c r="I5" s="773"/>
      <c r="J5" s="773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2" ht="12.75">
      <c r="A8" s="668" t="s">
        <v>472</v>
      </c>
      <c r="B8" s="668"/>
      <c r="C8" s="29"/>
      <c r="H8" s="763" t="s">
        <v>930</v>
      </c>
      <c r="I8" s="763"/>
      <c r="J8" s="763"/>
      <c r="K8" s="103"/>
      <c r="L8" s="103"/>
    </row>
    <row r="9" spans="1:18" s="273" customFormat="1" ht="15.75" customHeight="1">
      <c r="A9" s="674" t="s">
        <v>487</v>
      </c>
      <c r="B9" s="674" t="s">
        <v>3</v>
      </c>
      <c r="C9" s="727" t="s">
        <v>890</v>
      </c>
      <c r="D9" s="728"/>
      <c r="E9" s="728"/>
      <c r="F9" s="729"/>
      <c r="G9" s="727" t="s">
        <v>99</v>
      </c>
      <c r="H9" s="728"/>
      <c r="I9" s="728"/>
      <c r="J9" s="729"/>
      <c r="Q9" s="276"/>
      <c r="R9" s="277"/>
    </row>
    <row r="10" spans="1:10" s="273" customFormat="1" ht="53.25" customHeight="1">
      <c r="A10" s="674"/>
      <c r="B10" s="674"/>
      <c r="C10" s="257" t="s">
        <v>180</v>
      </c>
      <c r="D10" s="257" t="s">
        <v>14</v>
      </c>
      <c r="E10" s="253" t="s">
        <v>1034</v>
      </c>
      <c r="F10" s="253" t="s">
        <v>196</v>
      </c>
      <c r="G10" s="257" t="s">
        <v>180</v>
      </c>
      <c r="H10" s="278" t="s">
        <v>15</v>
      </c>
      <c r="I10" s="279" t="s">
        <v>106</v>
      </c>
      <c r="J10" s="257" t="s">
        <v>857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4">
        <v>8</v>
      </c>
      <c r="I11" s="5">
        <v>9</v>
      </c>
      <c r="J11" s="5">
        <v>10</v>
      </c>
      <c r="L11" s="21"/>
    </row>
    <row r="12" spans="1:12" ht="12.75">
      <c r="A12" s="8">
        <v>1</v>
      </c>
      <c r="B12" s="19" t="s">
        <v>473</v>
      </c>
      <c r="C12" s="19">
        <v>599</v>
      </c>
      <c r="D12" s="19">
        <v>40779</v>
      </c>
      <c r="E12" s="19">
        <v>166</v>
      </c>
      <c r="F12" s="106">
        <f>D12*E12</f>
        <v>6769314</v>
      </c>
      <c r="G12" s="19">
        <f>'AT-3'!C9</f>
        <v>599</v>
      </c>
      <c r="H12" s="324">
        <f>'enrolment vs availed_PY'!Q11</f>
        <v>6379820</v>
      </c>
      <c r="I12" s="19">
        <v>163</v>
      </c>
      <c r="J12" s="324">
        <f>H12/I12</f>
        <v>39140</v>
      </c>
      <c r="L12" s="501"/>
    </row>
    <row r="13" spans="1:12" ht="12.75">
      <c r="A13" s="8">
        <v>2</v>
      </c>
      <c r="B13" s="19" t="s">
        <v>474</v>
      </c>
      <c r="C13" s="19">
        <v>587</v>
      </c>
      <c r="D13" s="19">
        <v>30014</v>
      </c>
      <c r="E13" s="19">
        <v>166</v>
      </c>
      <c r="F13" s="106">
        <f aca="true" t="shared" si="0" ref="F13:F18">D13*E13</f>
        <v>4982324</v>
      </c>
      <c r="G13" s="19">
        <f>'AT-3'!C10</f>
        <v>587</v>
      </c>
      <c r="H13" s="324">
        <f>'enrolment vs availed_PY'!Q12</f>
        <v>4335963</v>
      </c>
      <c r="I13" s="19">
        <v>163</v>
      </c>
      <c r="J13" s="324">
        <f>H13/I13</f>
        <v>26601</v>
      </c>
      <c r="L13" s="501"/>
    </row>
    <row r="14" spans="1:12" ht="12.75">
      <c r="A14" s="8">
        <v>3</v>
      </c>
      <c r="B14" s="19" t="s">
        <v>475</v>
      </c>
      <c r="C14" s="19">
        <v>456</v>
      </c>
      <c r="D14" s="19">
        <v>17574</v>
      </c>
      <c r="E14" s="19">
        <v>166</v>
      </c>
      <c r="F14" s="106">
        <f t="shared" si="0"/>
        <v>2917284</v>
      </c>
      <c r="G14" s="19">
        <f>'AT-3'!C11</f>
        <v>456</v>
      </c>
      <c r="H14" s="324">
        <f>'enrolment vs availed_PY'!Q13</f>
        <v>2666028</v>
      </c>
      <c r="I14" s="19">
        <v>163</v>
      </c>
      <c r="J14" s="324">
        <f aca="true" t="shared" si="1" ref="J14:J19">H14/I14</f>
        <v>16356</v>
      </c>
      <c r="L14" s="501"/>
    </row>
    <row r="15" spans="1:12" ht="12.75">
      <c r="A15" s="8">
        <v>4</v>
      </c>
      <c r="B15" s="19" t="s">
        <v>476</v>
      </c>
      <c r="C15" s="19">
        <v>528</v>
      </c>
      <c r="D15" s="19">
        <v>25281</v>
      </c>
      <c r="E15" s="19">
        <v>166</v>
      </c>
      <c r="F15" s="106">
        <f t="shared" si="0"/>
        <v>4196646</v>
      </c>
      <c r="G15" s="19">
        <f>'AT-3'!C12</f>
        <v>528</v>
      </c>
      <c r="H15" s="324">
        <f>'enrolment vs availed_PY'!Q14</f>
        <v>3851201</v>
      </c>
      <c r="I15" s="19">
        <v>163</v>
      </c>
      <c r="J15" s="324">
        <f t="shared" si="1"/>
        <v>23627</v>
      </c>
      <c r="L15" s="501"/>
    </row>
    <row r="16" spans="1:12" ht="12.75">
      <c r="A16" s="8">
        <v>5</v>
      </c>
      <c r="B16" s="19" t="s">
        <v>477</v>
      </c>
      <c r="C16" s="19">
        <v>617</v>
      </c>
      <c r="D16" s="19">
        <v>25843</v>
      </c>
      <c r="E16" s="19">
        <v>166</v>
      </c>
      <c r="F16" s="106">
        <f t="shared" si="0"/>
        <v>4289938</v>
      </c>
      <c r="G16" s="19">
        <f>'AT-3'!C13</f>
        <v>617</v>
      </c>
      <c r="H16" s="324">
        <f>'enrolment vs availed_PY'!Q15</f>
        <v>3947045</v>
      </c>
      <c r="I16" s="19">
        <v>163</v>
      </c>
      <c r="J16" s="324">
        <f t="shared" si="1"/>
        <v>24215</v>
      </c>
      <c r="L16" s="501"/>
    </row>
    <row r="17" spans="1:12" ht="12.75">
      <c r="A17" s="8">
        <v>6</v>
      </c>
      <c r="B17" s="19" t="s">
        <v>478</v>
      </c>
      <c r="C17" s="19">
        <v>327</v>
      </c>
      <c r="D17" s="19">
        <v>20324</v>
      </c>
      <c r="E17" s="19">
        <v>166</v>
      </c>
      <c r="F17" s="106">
        <f t="shared" si="0"/>
        <v>3373784</v>
      </c>
      <c r="G17" s="19">
        <f>'AT-3'!C14</f>
        <v>322</v>
      </c>
      <c r="H17" s="324">
        <f>'enrolment vs availed_PY'!Q16</f>
        <v>3046470</v>
      </c>
      <c r="I17" s="19">
        <v>163</v>
      </c>
      <c r="J17" s="324">
        <f t="shared" si="1"/>
        <v>18690</v>
      </c>
      <c r="L17" s="501"/>
    </row>
    <row r="18" spans="1:12" ht="12.75">
      <c r="A18" s="8">
        <v>7</v>
      </c>
      <c r="B18" s="19" t="s">
        <v>479</v>
      </c>
      <c r="C18" s="19">
        <v>476</v>
      </c>
      <c r="D18" s="19">
        <v>31744</v>
      </c>
      <c r="E18" s="19">
        <v>166</v>
      </c>
      <c r="F18" s="106">
        <f t="shared" si="0"/>
        <v>5269504</v>
      </c>
      <c r="G18" s="19">
        <f>'AT-3'!C15</f>
        <v>475</v>
      </c>
      <c r="H18" s="324">
        <f>'enrolment vs availed_PY'!Q17</f>
        <v>5008012</v>
      </c>
      <c r="I18" s="19">
        <v>163</v>
      </c>
      <c r="J18" s="324">
        <f t="shared" si="1"/>
        <v>30724</v>
      </c>
      <c r="L18" s="501"/>
    </row>
    <row r="19" spans="1:12" ht="12.75">
      <c r="A19" s="8">
        <v>8</v>
      </c>
      <c r="B19" s="19" t="s">
        <v>480</v>
      </c>
      <c r="C19" s="19">
        <v>812</v>
      </c>
      <c r="D19" s="19">
        <v>29496</v>
      </c>
      <c r="E19" s="19">
        <v>166</v>
      </c>
      <c r="F19" s="106">
        <f>D19*E19</f>
        <v>4896336</v>
      </c>
      <c r="G19" s="19">
        <f>'AT-3'!C16</f>
        <v>812</v>
      </c>
      <c r="H19" s="324">
        <f>'enrolment vs availed_PY'!Q18</f>
        <v>4662941</v>
      </c>
      <c r="I19" s="19">
        <v>163</v>
      </c>
      <c r="J19" s="324">
        <f t="shared" si="1"/>
        <v>28607</v>
      </c>
      <c r="L19" s="501"/>
    </row>
    <row r="20" spans="1:12" ht="12.75">
      <c r="A20" s="3"/>
      <c r="B20" s="27" t="s">
        <v>481</v>
      </c>
      <c r="C20" s="19">
        <f>SUM(C12:C19)</f>
        <v>4402</v>
      </c>
      <c r="D20" s="19">
        <f aca="true" t="shared" si="2" ref="D20:J20">SUM(D12:D19)</f>
        <v>221055</v>
      </c>
      <c r="E20" s="19"/>
      <c r="F20" s="19">
        <f t="shared" si="2"/>
        <v>36695130</v>
      </c>
      <c r="G20" s="19">
        <f t="shared" si="2"/>
        <v>4396</v>
      </c>
      <c r="H20" s="19">
        <f t="shared" si="2"/>
        <v>33897480</v>
      </c>
      <c r="I20" s="19"/>
      <c r="J20" s="325">
        <f t="shared" si="2"/>
        <v>207960</v>
      </c>
      <c r="K20" s="646">
        <f>J20/D20</f>
        <v>0.9407613489855465</v>
      </c>
      <c r="L20" s="502"/>
    </row>
    <row r="21" spans="1:12" ht="12.75">
      <c r="A21" s="12"/>
      <c r="B21" s="28"/>
      <c r="C21" s="28"/>
      <c r="D21" s="21"/>
      <c r="E21" s="21"/>
      <c r="F21" s="21"/>
      <c r="G21" s="21"/>
      <c r="H21" s="21"/>
      <c r="I21" s="21"/>
      <c r="J21" s="21"/>
      <c r="L21" s="21"/>
    </row>
    <row r="22" spans="1:10" ht="12.75">
      <c r="A22" s="230" t="s">
        <v>856</v>
      </c>
      <c r="B22" s="230"/>
      <c r="C22" s="230"/>
      <c r="D22" s="230"/>
      <c r="E22" s="230"/>
      <c r="F22" s="230"/>
      <c r="G22" s="230"/>
      <c r="H22" s="24"/>
      <c r="I22" s="24" t="s">
        <v>11</v>
      </c>
      <c r="J22" s="21"/>
    </row>
    <row r="23" spans="1:10" ht="12.75">
      <c r="A23" s="12"/>
      <c r="B23" s="703"/>
      <c r="C23" s="703"/>
      <c r="D23" s="703"/>
      <c r="E23" s="703"/>
      <c r="F23" s="703"/>
      <c r="G23" s="703"/>
      <c r="H23" s="21"/>
      <c r="I23" s="21"/>
      <c r="J23" s="21"/>
    </row>
    <row r="24" spans="1:10" ht="15.75" customHeight="1">
      <c r="A24" s="15" t="s">
        <v>12</v>
      </c>
      <c r="B24" s="15"/>
      <c r="C24" s="15"/>
      <c r="D24" s="15"/>
      <c r="E24" s="15"/>
      <c r="F24" s="15"/>
      <c r="G24" s="15"/>
      <c r="I24" s="778"/>
      <c r="J24" s="778"/>
    </row>
    <row r="25" spans="2:10" ht="12.75" customHeight="1">
      <c r="B25" s="86"/>
      <c r="C25" s="86"/>
      <c r="D25" s="86"/>
      <c r="E25" s="86"/>
      <c r="F25" s="86"/>
      <c r="G25" s="86"/>
      <c r="H25" s="86"/>
      <c r="I25" s="777" t="s">
        <v>1062</v>
      </c>
      <c r="J25" s="777"/>
    </row>
    <row r="26" spans="1:10" ht="12.75" customHeight="1">
      <c r="A26" s="415"/>
      <c r="B26" s="86"/>
      <c r="C26" s="86"/>
      <c r="D26" s="86"/>
      <c r="E26" s="86"/>
      <c r="F26" s="86"/>
      <c r="G26" s="86"/>
      <c r="H26" s="86"/>
      <c r="I26" s="699" t="s">
        <v>485</v>
      </c>
      <c r="J26" s="699"/>
    </row>
    <row r="27" spans="1:10" ht="12.75">
      <c r="A27" s="15"/>
      <c r="B27" s="15"/>
      <c r="C27" s="15"/>
      <c r="D27" s="322"/>
      <c r="E27" s="15"/>
      <c r="I27" s="31" t="s">
        <v>80</v>
      </c>
      <c r="J27" s="31"/>
    </row>
    <row r="28" spans="1:4" ht="12.75">
      <c r="A28" s="415"/>
      <c r="D28" s="322"/>
    </row>
    <row r="29" spans="2:4" ht="12.75">
      <c r="B29" s="429"/>
      <c r="D29" s="322"/>
    </row>
    <row r="30" ht="12.75">
      <c r="D30" s="322"/>
    </row>
    <row r="31" spans="1:10" ht="12.75">
      <c r="A31" s="447"/>
      <c r="B31" s="447"/>
      <c r="C31" s="447"/>
      <c r="D31" s="482"/>
      <c r="E31" s="447"/>
      <c r="F31" s="447"/>
      <c r="G31" s="447"/>
      <c r="H31" s="447"/>
      <c r="I31" s="447"/>
      <c r="J31" s="447"/>
    </row>
    <row r="32" ht="12.75">
      <c r="D32" s="322"/>
    </row>
    <row r="33" spans="1:10" ht="12.75">
      <c r="A33" s="447"/>
      <c r="B33" s="447"/>
      <c r="C33" s="447"/>
      <c r="D33" s="482"/>
      <c r="E33" s="447"/>
      <c r="F33" s="447"/>
      <c r="G33" s="447"/>
      <c r="H33" s="447"/>
      <c r="I33" s="447"/>
      <c r="J33" s="447"/>
    </row>
    <row r="34" ht="12.75">
      <c r="D34" s="322"/>
    </row>
  </sheetData>
  <sheetProtection/>
  <mergeCells count="14">
    <mergeCell ref="A5:J5"/>
    <mergeCell ref="A9:A10"/>
    <mergeCell ref="B9:B10"/>
    <mergeCell ref="A8:B8"/>
    <mergeCell ref="I25:J25"/>
    <mergeCell ref="I26:J26"/>
    <mergeCell ref="I24:J24"/>
    <mergeCell ref="B23:G23"/>
    <mergeCell ref="E1:I1"/>
    <mergeCell ref="A2:J2"/>
    <mergeCell ref="A3:J3"/>
    <mergeCell ref="G9:J9"/>
    <mergeCell ref="C9:F9"/>
    <mergeCell ref="H8:J8"/>
  </mergeCells>
  <printOptions horizontalCentered="1"/>
  <pageMargins left="0.52" right="0.31" top="1.19" bottom="0" header="0.81" footer="0.31496062992125984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view="pageBreakPreview" zoomScaleSheetLayoutView="100" zoomScalePageLayoutView="0" workbookViewId="0" topLeftCell="A4">
      <selection activeCell="F24" sqref="F24"/>
    </sheetView>
  </sheetViews>
  <sheetFormatPr defaultColWidth="9.140625" defaultRowHeight="12.75"/>
  <cols>
    <col min="1" max="1" width="4.421875" style="16" customWidth="1"/>
    <col min="2" max="2" width="13.57421875" style="16" customWidth="1"/>
    <col min="3" max="3" width="11.00390625" style="16" customWidth="1"/>
    <col min="4" max="4" width="10.00390625" style="16" customWidth="1"/>
    <col min="5" max="5" width="14.140625" style="16" customWidth="1"/>
    <col min="6" max="6" width="14.8515625" style="16" customWidth="1"/>
    <col min="7" max="7" width="13.28125" style="16" customWidth="1"/>
    <col min="8" max="8" width="14.7109375" style="16" customWidth="1"/>
    <col min="9" max="9" width="16.140625" style="16" customWidth="1"/>
    <col min="10" max="10" width="21.00390625" style="16" customWidth="1"/>
    <col min="11" max="16384" width="9.140625" style="16" customWidth="1"/>
  </cols>
  <sheetData>
    <row r="1" spans="5:10" ht="12.75">
      <c r="E1" s="676"/>
      <c r="F1" s="676"/>
      <c r="G1" s="676"/>
      <c r="H1" s="676"/>
      <c r="I1" s="676"/>
      <c r="J1" s="49" t="s">
        <v>357</v>
      </c>
    </row>
    <row r="2" spans="1:10" ht="15">
      <c r="A2" s="772" t="s">
        <v>0</v>
      </c>
      <c r="B2" s="772"/>
      <c r="C2" s="772"/>
      <c r="D2" s="772"/>
      <c r="E2" s="772"/>
      <c r="F2" s="772"/>
      <c r="G2" s="772"/>
      <c r="H2" s="772"/>
      <c r="I2" s="772"/>
      <c r="J2" s="772"/>
    </row>
    <row r="3" spans="1:10" ht="20.25">
      <c r="A3" s="701" t="s">
        <v>878</v>
      </c>
      <c r="B3" s="701"/>
      <c r="C3" s="701"/>
      <c r="D3" s="701"/>
      <c r="E3" s="701"/>
      <c r="F3" s="701"/>
      <c r="G3" s="701"/>
      <c r="H3" s="701"/>
      <c r="I3" s="701"/>
      <c r="J3" s="701"/>
    </row>
    <row r="4" ht="14.25" customHeight="1"/>
    <row r="5" spans="1:10" ht="31.5" customHeight="1">
      <c r="A5" s="773" t="s">
        <v>891</v>
      </c>
      <c r="B5" s="773"/>
      <c r="C5" s="773"/>
      <c r="D5" s="773"/>
      <c r="E5" s="773"/>
      <c r="F5" s="773"/>
      <c r="G5" s="773"/>
      <c r="H5" s="773"/>
      <c r="I5" s="773"/>
      <c r="J5" s="773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668" t="s">
        <v>472</v>
      </c>
      <c r="B8" s="668"/>
      <c r="C8" s="29"/>
      <c r="H8" s="763" t="s">
        <v>930</v>
      </c>
      <c r="I8" s="763"/>
      <c r="J8" s="763"/>
    </row>
    <row r="9" spans="1:16" s="280" customFormat="1" ht="15.75" customHeight="1">
      <c r="A9" s="674" t="s">
        <v>488</v>
      </c>
      <c r="B9" s="674" t="s">
        <v>3</v>
      </c>
      <c r="C9" s="727" t="s">
        <v>890</v>
      </c>
      <c r="D9" s="728"/>
      <c r="E9" s="728"/>
      <c r="F9" s="729"/>
      <c r="G9" s="727" t="s">
        <v>99</v>
      </c>
      <c r="H9" s="728"/>
      <c r="I9" s="728"/>
      <c r="J9" s="729"/>
      <c r="O9" s="281"/>
      <c r="P9" s="281"/>
    </row>
    <row r="10" spans="1:12" s="280" customFormat="1" ht="53.25" customHeight="1">
      <c r="A10" s="674"/>
      <c r="B10" s="674"/>
      <c r="C10" s="257" t="s">
        <v>180</v>
      </c>
      <c r="D10" s="257" t="s">
        <v>14</v>
      </c>
      <c r="E10" s="253" t="s">
        <v>1034</v>
      </c>
      <c r="F10" s="253" t="s">
        <v>196</v>
      </c>
      <c r="G10" s="257" t="s">
        <v>180</v>
      </c>
      <c r="H10" s="278" t="s">
        <v>15</v>
      </c>
      <c r="I10" s="279" t="s">
        <v>106</v>
      </c>
      <c r="J10" s="257" t="s">
        <v>857</v>
      </c>
      <c r="L10" s="281"/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4">
        <v>8</v>
      </c>
      <c r="I11" s="5">
        <v>9</v>
      </c>
      <c r="J11" s="5">
        <v>10</v>
      </c>
      <c r="L11" s="21"/>
    </row>
    <row r="12" spans="1:12" ht="12.75">
      <c r="A12" s="8">
        <v>1</v>
      </c>
      <c r="B12" s="19" t="s">
        <v>473</v>
      </c>
      <c r="C12" s="19">
        <f>G12</f>
        <v>318</v>
      </c>
      <c r="D12" s="19">
        <v>26400</v>
      </c>
      <c r="E12" s="19">
        <v>166</v>
      </c>
      <c r="F12" s="106">
        <f>D12*E12</f>
        <v>4382400</v>
      </c>
      <c r="G12" s="19">
        <f>'AT-3'!D9+'AT-3'!E9</f>
        <v>318</v>
      </c>
      <c r="H12" s="324">
        <f>'enrolment vs availed_UPY'!Q11</f>
        <v>3926629</v>
      </c>
      <c r="I12" s="19">
        <v>161</v>
      </c>
      <c r="J12" s="324">
        <f>H12/I12</f>
        <v>24389</v>
      </c>
      <c r="L12" s="501"/>
    </row>
    <row r="13" spans="1:12" ht="12.75">
      <c r="A13" s="8">
        <v>2</v>
      </c>
      <c r="B13" s="19" t="s">
        <v>474</v>
      </c>
      <c r="C13" s="19">
        <f aca="true" t="shared" si="0" ref="C13:C19">G13</f>
        <v>288</v>
      </c>
      <c r="D13" s="19">
        <v>18674</v>
      </c>
      <c r="E13" s="19">
        <v>166</v>
      </c>
      <c r="F13" s="106">
        <f aca="true" t="shared" si="1" ref="F13:F19">D13*E13</f>
        <v>3099884</v>
      </c>
      <c r="G13" s="19">
        <f>'AT-3'!D10+'AT-3'!E10</f>
        <v>288</v>
      </c>
      <c r="H13" s="324">
        <f>'enrolment vs availed_UPY'!Q12</f>
        <v>2701419</v>
      </c>
      <c r="I13" s="19">
        <v>161</v>
      </c>
      <c r="J13" s="324">
        <f aca="true" t="shared" si="2" ref="J13:J19">H13/I13</f>
        <v>16779</v>
      </c>
      <c r="L13" s="501"/>
    </row>
    <row r="14" spans="1:12" ht="12.75">
      <c r="A14" s="8">
        <v>3</v>
      </c>
      <c r="B14" s="19" t="s">
        <v>475</v>
      </c>
      <c r="C14" s="19">
        <f t="shared" si="0"/>
        <v>212</v>
      </c>
      <c r="D14" s="19">
        <v>11547</v>
      </c>
      <c r="E14" s="19">
        <v>166</v>
      </c>
      <c r="F14" s="106">
        <f t="shared" si="1"/>
        <v>1916802</v>
      </c>
      <c r="G14" s="19">
        <f>'AT-3'!D11+'AT-3'!E11</f>
        <v>212</v>
      </c>
      <c r="H14" s="324">
        <f>'enrolment vs availed_UPY'!Q13</f>
        <v>1662808</v>
      </c>
      <c r="I14" s="19">
        <v>161</v>
      </c>
      <c r="J14" s="324">
        <f t="shared" si="2"/>
        <v>10328</v>
      </c>
      <c r="L14" s="501"/>
    </row>
    <row r="15" spans="1:12" ht="12.75">
      <c r="A15" s="8">
        <v>4</v>
      </c>
      <c r="B15" s="19" t="s">
        <v>476</v>
      </c>
      <c r="C15" s="19">
        <f t="shared" si="0"/>
        <v>282</v>
      </c>
      <c r="D15" s="19">
        <v>16191</v>
      </c>
      <c r="E15" s="19">
        <v>166</v>
      </c>
      <c r="F15" s="106">
        <f t="shared" si="1"/>
        <v>2687706</v>
      </c>
      <c r="G15" s="19">
        <f>'AT-3'!D12+'AT-3'!E12</f>
        <v>282</v>
      </c>
      <c r="H15" s="324">
        <f>'enrolment vs availed_UPY'!Q14</f>
        <v>2365734</v>
      </c>
      <c r="I15" s="19">
        <v>161</v>
      </c>
      <c r="J15" s="324">
        <f t="shared" si="2"/>
        <v>14694</v>
      </c>
      <c r="L15" s="501"/>
    </row>
    <row r="16" spans="1:12" ht="12.75">
      <c r="A16" s="8">
        <v>5</v>
      </c>
      <c r="B16" s="19" t="s">
        <v>477</v>
      </c>
      <c r="C16" s="19">
        <f t="shared" si="0"/>
        <v>308</v>
      </c>
      <c r="D16" s="19">
        <v>17735</v>
      </c>
      <c r="E16" s="19">
        <v>166</v>
      </c>
      <c r="F16" s="106">
        <f t="shared" si="1"/>
        <v>2944010</v>
      </c>
      <c r="G16" s="19">
        <f>'AT-3'!D13+'AT-3'!E13</f>
        <v>308</v>
      </c>
      <c r="H16" s="324">
        <f>'enrolment vs availed_UPY'!Q15</f>
        <v>2615767</v>
      </c>
      <c r="I16" s="19">
        <v>161</v>
      </c>
      <c r="J16" s="324">
        <f t="shared" si="2"/>
        <v>16247</v>
      </c>
      <c r="L16" s="501"/>
    </row>
    <row r="17" spans="1:12" ht="12.75">
      <c r="A17" s="8">
        <v>6</v>
      </c>
      <c r="B17" s="19" t="s">
        <v>478</v>
      </c>
      <c r="C17" s="19">
        <f t="shared" si="0"/>
        <v>148</v>
      </c>
      <c r="D17" s="19">
        <v>12017</v>
      </c>
      <c r="E17" s="19">
        <v>166</v>
      </c>
      <c r="F17" s="106">
        <f t="shared" si="1"/>
        <v>1994822</v>
      </c>
      <c r="G17" s="19">
        <f>'AT-3'!D14+'AT-3'!E14</f>
        <v>148</v>
      </c>
      <c r="H17" s="324">
        <f>'enrolment vs availed_UPY'!Q16</f>
        <v>1832663</v>
      </c>
      <c r="I17" s="19">
        <v>161</v>
      </c>
      <c r="J17" s="324">
        <f t="shared" si="2"/>
        <v>11383</v>
      </c>
      <c r="L17" s="501"/>
    </row>
    <row r="18" spans="1:12" ht="12.75">
      <c r="A18" s="8">
        <v>7</v>
      </c>
      <c r="B18" s="19" t="s">
        <v>479</v>
      </c>
      <c r="C18" s="19">
        <v>243</v>
      </c>
      <c r="D18" s="19">
        <v>16388</v>
      </c>
      <c r="E18" s="19">
        <v>166</v>
      </c>
      <c r="F18" s="106">
        <f t="shared" si="1"/>
        <v>2720408</v>
      </c>
      <c r="G18" s="19">
        <f>'AT-3'!D15+'AT-3'!E15</f>
        <v>244</v>
      </c>
      <c r="H18" s="324">
        <f>'enrolment vs availed_UPY'!Q17</f>
        <v>2553782</v>
      </c>
      <c r="I18" s="19">
        <v>161</v>
      </c>
      <c r="J18" s="324">
        <f t="shared" si="2"/>
        <v>15862</v>
      </c>
      <c r="L18" s="501"/>
    </row>
    <row r="19" spans="1:12" ht="12.75">
      <c r="A19" s="8">
        <v>8</v>
      </c>
      <c r="B19" s="19" t="s">
        <v>480</v>
      </c>
      <c r="C19" s="19">
        <f t="shared" si="0"/>
        <v>328</v>
      </c>
      <c r="D19" s="19">
        <v>16188</v>
      </c>
      <c r="E19" s="19">
        <v>166</v>
      </c>
      <c r="F19" s="106">
        <f t="shared" si="1"/>
        <v>2687208</v>
      </c>
      <c r="G19" s="19">
        <f>'AT-3'!D16+'AT-3'!E16</f>
        <v>328</v>
      </c>
      <c r="H19" s="324">
        <f>'enrolment vs availed_UPY'!Q18</f>
        <v>2369115</v>
      </c>
      <c r="I19" s="19">
        <v>161</v>
      </c>
      <c r="J19" s="324">
        <f t="shared" si="2"/>
        <v>14715</v>
      </c>
      <c r="L19" s="501"/>
    </row>
    <row r="20" spans="1:12" ht="12.75">
      <c r="A20" s="3"/>
      <c r="B20" s="27" t="s">
        <v>481</v>
      </c>
      <c r="C20" s="19">
        <f>SUM(C12:C19)</f>
        <v>2127</v>
      </c>
      <c r="D20" s="19">
        <f aca="true" t="shared" si="3" ref="D20:J20">SUM(D12:D19)</f>
        <v>135140</v>
      </c>
      <c r="E20" s="19"/>
      <c r="F20" s="19">
        <f t="shared" si="3"/>
        <v>22433240</v>
      </c>
      <c r="G20" s="19">
        <f t="shared" si="3"/>
        <v>2128</v>
      </c>
      <c r="H20" s="19">
        <f t="shared" si="3"/>
        <v>20027917</v>
      </c>
      <c r="I20" s="19"/>
      <c r="J20" s="325">
        <f t="shared" si="3"/>
        <v>124397</v>
      </c>
      <c r="K20" s="647">
        <f>J20/D20</f>
        <v>0.920504661832174</v>
      </c>
      <c r="L20" s="21"/>
    </row>
    <row r="21" spans="1:10" ht="12.75">
      <c r="A21" s="12"/>
      <c r="B21" s="28"/>
      <c r="C21" s="28"/>
      <c r="D21" s="21"/>
      <c r="E21" s="21"/>
      <c r="F21" s="21"/>
      <c r="G21" s="21"/>
      <c r="H21" s="21"/>
      <c r="I21" s="21"/>
      <c r="J21" s="21"/>
    </row>
    <row r="22" spans="1:10" ht="12.75">
      <c r="A22" s="230" t="s">
        <v>856</v>
      </c>
      <c r="B22" s="230"/>
      <c r="C22" s="230"/>
      <c r="D22" s="230"/>
      <c r="E22" s="230"/>
      <c r="F22" s="230"/>
      <c r="G22" s="230"/>
      <c r="H22" s="24"/>
      <c r="I22" s="24" t="s">
        <v>11</v>
      </c>
      <c r="J22" s="21"/>
    </row>
    <row r="23" spans="1:10" ht="12.75">
      <c r="A23" s="12"/>
      <c r="B23" s="28"/>
      <c r="C23" s="28"/>
      <c r="D23" s="21"/>
      <c r="E23" s="21"/>
      <c r="F23" s="21"/>
      <c r="G23" s="21"/>
      <c r="H23" s="21"/>
      <c r="I23" s="21"/>
      <c r="J23" s="21"/>
    </row>
    <row r="24" spans="1:10" ht="12.75">
      <c r="A24" s="15" t="s">
        <v>12</v>
      </c>
      <c r="B24" s="15"/>
      <c r="C24" s="15"/>
      <c r="D24" s="504"/>
      <c r="E24" s="505"/>
      <c r="F24" s="15"/>
      <c r="G24" s="15"/>
      <c r="I24" s="781"/>
      <c r="J24" s="781"/>
    </row>
    <row r="25" spans="2:10" ht="12.75">
      <c r="B25" s="448"/>
      <c r="C25" s="448"/>
      <c r="D25" s="504"/>
      <c r="E25" s="505"/>
      <c r="F25" s="448"/>
      <c r="G25" s="448"/>
      <c r="H25" s="448"/>
      <c r="I25" s="779" t="s">
        <v>1062</v>
      </c>
      <c r="J25" s="779"/>
    </row>
    <row r="26" spans="2:10" ht="12.75">
      <c r="B26" s="86"/>
      <c r="C26" s="86"/>
      <c r="D26" s="504"/>
      <c r="E26" s="505"/>
      <c r="F26" s="86"/>
      <c r="G26" s="86"/>
      <c r="H26" s="86"/>
      <c r="I26" s="779" t="s">
        <v>485</v>
      </c>
      <c r="J26" s="779"/>
    </row>
    <row r="27" spans="1:10" ht="12.75">
      <c r="A27" s="15"/>
      <c r="B27" s="15"/>
      <c r="C27" s="15"/>
      <c r="D27" s="504"/>
      <c r="E27" s="505"/>
      <c r="H27" s="30" t="s">
        <v>80</v>
      </c>
      <c r="I27" s="31"/>
      <c r="J27" s="31"/>
    </row>
    <row r="28" spans="4:5" ht="12.75">
      <c r="D28" s="504"/>
      <c r="E28" s="505"/>
    </row>
    <row r="29" spans="4:5" ht="12.75">
      <c r="D29" s="504"/>
      <c r="E29" s="505"/>
    </row>
    <row r="30" spans="4:5" ht="12.75">
      <c r="D30" s="504"/>
      <c r="E30" s="505"/>
    </row>
    <row r="31" spans="1:10" ht="12.75">
      <c r="A31" s="447"/>
      <c r="B31" s="447"/>
      <c r="C31" s="447"/>
      <c r="D31" s="504"/>
      <c r="E31" s="505"/>
      <c r="F31" s="447"/>
      <c r="G31" s="447"/>
      <c r="H31" s="447"/>
      <c r="I31" s="447"/>
      <c r="J31" s="447"/>
    </row>
    <row r="32" ht="12.75">
      <c r="D32" s="505"/>
    </row>
    <row r="33" spans="1:10" ht="12.75">
      <c r="A33" s="780"/>
      <c r="B33" s="780"/>
      <c r="C33" s="780"/>
      <c r="D33" s="780"/>
      <c r="E33" s="780"/>
      <c r="F33" s="780"/>
      <c r="G33" s="780"/>
      <c r="H33" s="780"/>
      <c r="I33" s="780"/>
      <c r="J33" s="780"/>
    </row>
  </sheetData>
  <sheetProtection/>
  <mergeCells count="14">
    <mergeCell ref="E1:I1"/>
    <mergeCell ref="A2:J2"/>
    <mergeCell ref="A3:J3"/>
    <mergeCell ref="A5:J5"/>
    <mergeCell ref="A8:B8"/>
    <mergeCell ref="H8:J8"/>
    <mergeCell ref="I26:J26"/>
    <mergeCell ref="A33:J33"/>
    <mergeCell ref="A9:A10"/>
    <mergeCell ref="B9:B10"/>
    <mergeCell ref="C9:F9"/>
    <mergeCell ref="G9:J9"/>
    <mergeCell ref="I24:J24"/>
    <mergeCell ref="I25:J25"/>
  </mergeCells>
  <printOptions horizontalCentered="1"/>
  <pageMargins left="0.48" right="0.16" top="1.24" bottom="0" header="0.31496062992125984" footer="0.31496062992125984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view="pageBreakPreview" zoomScaleSheetLayoutView="100" zoomScalePageLayoutView="0" workbookViewId="0" topLeftCell="A4">
      <selection activeCell="E14" sqref="E14:H15"/>
    </sheetView>
  </sheetViews>
  <sheetFormatPr defaultColWidth="9.140625" defaultRowHeight="12.75"/>
  <cols>
    <col min="1" max="1" width="4.7109375" style="16" customWidth="1"/>
    <col min="2" max="2" width="14.421875" style="16" customWidth="1"/>
    <col min="3" max="3" width="11.00390625" style="16" customWidth="1"/>
    <col min="4" max="4" width="10.00390625" style="16" customWidth="1"/>
    <col min="5" max="5" width="14.00390625" style="16" customWidth="1"/>
    <col min="6" max="6" width="15.00390625" style="16" customWidth="1"/>
    <col min="7" max="7" width="13.28125" style="16" customWidth="1"/>
    <col min="8" max="8" width="14.7109375" style="16" customWidth="1"/>
    <col min="9" max="9" width="16.421875" style="16" customWidth="1"/>
    <col min="10" max="10" width="20.57421875" style="16" customWidth="1"/>
    <col min="11" max="16384" width="9.140625" style="16" customWidth="1"/>
  </cols>
  <sheetData>
    <row r="1" spans="5:10" ht="12.75">
      <c r="E1" s="676"/>
      <c r="F1" s="676"/>
      <c r="G1" s="676"/>
      <c r="H1" s="676"/>
      <c r="I1" s="676"/>
      <c r="J1" s="49" t="s">
        <v>359</v>
      </c>
    </row>
    <row r="2" spans="1:10" ht="15">
      <c r="A2" s="772" t="s">
        <v>0</v>
      </c>
      <c r="B2" s="772"/>
      <c r="C2" s="772"/>
      <c r="D2" s="772"/>
      <c r="E2" s="772"/>
      <c r="F2" s="772"/>
      <c r="G2" s="772"/>
      <c r="H2" s="772"/>
      <c r="I2" s="772"/>
      <c r="J2" s="772"/>
    </row>
    <row r="3" spans="1:10" ht="20.25">
      <c r="A3" s="701" t="s">
        <v>878</v>
      </c>
      <c r="B3" s="701"/>
      <c r="C3" s="701"/>
      <c r="D3" s="701"/>
      <c r="E3" s="701"/>
      <c r="F3" s="701"/>
      <c r="G3" s="701"/>
      <c r="H3" s="701"/>
      <c r="I3" s="701"/>
      <c r="J3" s="701"/>
    </row>
    <row r="4" ht="14.25" customHeight="1"/>
    <row r="5" spans="1:10" ht="31.5" customHeight="1">
      <c r="A5" s="773" t="s">
        <v>892</v>
      </c>
      <c r="B5" s="773"/>
      <c r="C5" s="773"/>
      <c r="D5" s="773"/>
      <c r="E5" s="773"/>
      <c r="F5" s="773"/>
      <c r="G5" s="773"/>
      <c r="H5" s="773"/>
      <c r="I5" s="773"/>
      <c r="J5" s="773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668" t="s">
        <v>472</v>
      </c>
      <c r="B8" s="668"/>
      <c r="C8" s="29"/>
      <c r="H8" s="763" t="s">
        <v>930</v>
      </c>
      <c r="I8" s="763"/>
      <c r="J8" s="763"/>
    </row>
    <row r="9" spans="1:16" ht="12.75">
      <c r="A9" s="674" t="s">
        <v>489</v>
      </c>
      <c r="B9" s="674" t="s">
        <v>3</v>
      </c>
      <c r="C9" s="727" t="s">
        <v>890</v>
      </c>
      <c r="D9" s="728"/>
      <c r="E9" s="728"/>
      <c r="F9" s="729"/>
      <c r="G9" s="727" t="s">
        <v>99</v>
      </c>
      <c r="H9" s="728"/>
      <c r="I9" s="728"/>
      <c r="J9" s="729"/>
      <c r="O9" s="19"/>
      <c r="P9" s="21"/>
    </row>
    <row r="10" spans="1:10" ht="53.25" customHeight="1">
      <c r="A10" s="674"/>
      <c r="B10" s="674"/>
      <c r="C10" s="257" t="s">
        <v>180</v>
      </c>
      <c r="D10" s="257" t="s">
        <v>14</v>
      </c>
      <c r="E10" s="253" t="s">
        <v>1034</v>
      </c>
      <c r="F10" s="253" t="s">
        <v>196</v>
      </c>
      <c r="G10" s="257" t="s">
        <v>180</v>
      </c>
      <c r="H10" s="278" t="s">
        <v>15</v>
      </c>
      <c r="I10" s="279" t="s">
        <v>106</v>
      </c>
      <c r="J10" s="257" t="s">
        <v>857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4">
        <v>8</v>
      </c>
      <c r="I11" s="5">
        <v>9</v>
      </c>
      <c r="J11" s="5">
        <v>10</v>
      </c>
    </row>
    <row r="12" spans="1:10" ht="12.75">
      <c r="A12" s="8">
        <v>1</v>
      </c>
      <c r="B12" s="19" t="s">
        <v>473</v>
      </c>
      <c r="C12" s="19"/>
      <c r="D12" s="19"/>
      <c r="E12" s="19"/>
      <c r="F12" s="106"/>
      <c r="G12" s="19"/>
      <c r="H12" s="26"/>
      <c r="I12" s="26"/>
      <c r="J12" s="26"/>
    </row>
    <row r="13" spans="1:10" ht="12.75">
      <c r="A13" s="8">
        <v>2</v>
      </c>
      <c r="B13" s="19" t="s">
        <v>474</v>
      </c>
      <c r="C13" s="19"/>
      <c r="D13" s="19"/>
      <c r="E13" s="19"/>
      <c r="F13" s="25"/>
      <c r="G13" s="19"/>
      <c r="H13" s="26"/>
      <c r="I13" s="26"/>
      <c r="J13" s="26"/>
    </row>
    <row r="14" spans="1:10" ht="12.75">
      <c r="A14" s="8">
        <v>3</v>
      </c>
      <c r="B14" s="19" t="s">
        <v>475</v>
      </c>
      <c r="C14" s="19"/>
      <c r="D14" s="19"/>
      <c r="E14" s="782" t="s">
        <v>507</v>
      </c>
      <c r="F14" s="783"/>
      <c r="G14" s="783"/>
      <c r="H14" s="784"/>
      <c r="I14" s="26"/>
      <c r="J14" s="26"/>
    </row>
    <row r="15" spans="1:10" ht="12.75">
      <c r="A15" s="8">
        <v>4</v>
      </c>
      <c r="B15" s="19" t="s">
        <v>476</v>
      </c>
      <c r="C15" s="19"/>
      <c r="D15" s="19"/>
      <c r="E15" s="785"/>
      <c r="F15" s="786"/>
      <c r="G15" s="786"/>
      <c r="H15" s="787"/>
      <c r="I15" s="26"/>
      <c r="J15" s="26"/>
    </row>
    <row r="16" spans="1:10" ht="12.75">
      <c r="A16" s="8">
        <v>5</v>
      </c>
      <c r="B16" s="19" t="s">
        <v>477</v>
      </c>
      <c r="C16" s="19"/>
      <c r="D16" s="19"/>
      <c r="E16" s="19"/>
      <c r="F16" s="25"/>
      <c r="G16" s="19"/>
      <c r="H16" s="26"/>
      <c r="I16" s="26"/>
      <c r="J16" s="26"/>
    </row>
    <row r="17" spans="1:10" ht="12.75">
      <c r="A17" s="8">
        <v>6</v>
      </c>
      <c r="B17" s="19" t="s">
        <v>478</v>
      </c>
      <c r="C17" s="19"/>
      <c r="D17" s="19"/>
      <c r="E17" s="19"/>
      <c r="F17" s="25"/>
      <c r="G17" s="19"/>
      <c r="H17" s="26"/>
      <c r="I17" s="26"/>
      <c r="J17" s="26"/>
    </row>
    <row r="18" spans="1:10" ht="12.75">
      <c r="A18" s="8">
        <v>7</v>
      </c>
      <c r="B18" s="19" t="s">
        <v>479</v>
      </c>
      <c r="C18" s="19"/>
      <c r="D18" s="19"/>
      <c r="E18" s="19"/>
      <c r="F18" s="25"/>
      <c r="G18" s="19"/>
      <c r="H18" s="26"/>
      <c r="I18" s="26"/>
      <c r="J18" s="26"/>
    </row>
    <row r="19" spans="1:10" ht="12.75">
      <c r="A19" s="8">
        <v>8</v>
      </c>
      <c r="B19" s="19" t="s">
        <v>480</v>
      </c>
      <c r="C19" s="19"/>
      <c r="D19" s="19"/>
      <c r="E19" s="19"/>
      <c r="F19" s="25"/>
      <c r="G19" s="19"/>
      <c r="H19" s="26"/>
      <c r="I19" s="26"/>
      <c r="J19" s="26"/>
    </row>
    <row r="20" spans="1:10" ht="12.75">
      <c r="A20" s="3"/>
      <c r="B20" s="27" t="s">
        <v>481</v>
      </c>
      <c r="C20" s="19"/>
      <c r="D20" s="19"/>
      <c r="E20" s="19"/>
      <c r="F20" s="25"/>
      <c r="G20" s="19"/>
      <c r="H20" s="26"/>
      <c r="I20" s="26"/>
      <c r="J20" s="26"/>
    </row>
    <row r="21" spans="1:10" ht="12.75">
      <c r="A21" s="12"/>
      <c r="B21" s="28"/>
      <c r="C21" s="28"/>
      <c r="D21" s="21"/>
      <c r="E21" s="21"/>
      <c r="F21" s="21"/>
      <c r="G21" s="21"/>
      <c r="H21" s="21"/>
      <c r="I21" s="21"/>
      <c r="J21" s="21"/>
    </row>
    <row r="22" spans="1:10" ht="12.75">
      <c r="A22" s="230" t="s">
        <v>856</v>
      </c>
      <c r="B22" s="230"/>
      <c r="C22" s="230"/>
      <c r="D22" s="230"/>
      <c r="E22" s="230"/>
      <c r="F22" s="230"/>
      <c r="G22" s="230"/>
      <c r="H22" s="24"/>
      <c r="I22" s="24" t="s">
        <v>11</v>
      </c>
      <c r="J22" s="21"/>
    </row>
    <row r="23" spans="1:10" ht="12.75">
      <c r="A23" s="12"/>
      <c r="B23" s="28"/>
      <c r="C23" s="28"/>
      <c r="D23" s="21"/>
      <c r="E23" s="21"/>
      <c r="F23" s="21"/>
      <c r="G23" s="21"/>
      <c r="H23" s="21"/>
      <c r="I23" s="21"/>
      <c r="J23" s="21"/>
    </row>
    <row r="24" spans="1:10" ht="12.75">
      <c r="A24" s="15" t="s">
        <v>12</v>
      </c>
      <c r="B24" s="15"/>
      <c r="C24" s="15"/>
      <c r="D24" s="15"/>
      <c r="E24" s="15"/>
      <c r="F24" s="15"/>
      <c r="G24" s="15"/>
      <c r="I24" s="781"/>
      <c r="J24" s="781"/>
    </row>
    <row r="25" spans="2:10" ht="12.75" customHeight="1">
      <c r="B25" s="448"/>
      <c r="C25" s="448"/>
      <c r="D25" s="448"/>
      <c r="E25" s="448"/>
      <c r="F25" s="448"/>
      <c r="G25" s="448"/>
      <c r="H25" s="448"/>
      <c r="I25" s="779" t="s">
        <v>1062</v>
      </c>
      <c r="J25" s="779"/>
    </row>
    <row r="26" spans="2:10" ht="12.75" customHeight="1">
      <c r="B26" s="86"/>
      <c r="C26" s="86"/>
      <c r="D26" s="86"/>
      <c r="E26" s="86"/>
      <c r="F26" s="86"/>
      <c r="G26" s="86"/>
      <c r="H26" s="86"/>
      <c r="I26" s="779" t="s">
        <v>485</v>
      </c>
      <c r="J26" s="779"/>
    </row>
    <row r="27" spans="1:10" ht="12.75">
      <c r="A27" s="15"/>
      <c r="B27" s="15"/>
      <c r="C27" s="15"/>
      <c r="E27" s="15"/>
      <c r="I27" s="31" t="s">
        <v>80</v>
      </c>
      <c r="J27" s="31"/>
    </row>
    <row r="31" spans="1:10" ht="12.75">
      <c r="A31" s="780"/>
      <c r="B31" s="780"/>
      <c r="C31" s="780"/>
      <c r="D31" s="780"/>
      <c r="E31" s="780"/>
      <c r="F31" s="780"/>
      <c r="G31" s="780"/>
      <c r="H31" s="780"/>
      <c r="I31" s="780"/>
      <c r="J31" s="780"/>
    </row>
    <row r="33" spans="1:10" ht="12.75">
      <c r="A33" s="780"/>
      <c r="B33" s="780"/>
      <c r="C33" s="780"/>
      <c r="D33" s="780"/>
      <c r="E33" s="780"/>
      <c r="F33" s="780"/>
      <c r="G33" s="780"/>
      <c r="H33" s="780"/>
      <c r="I33" s="780"/>
      <c r="J33" s="780"/>
    </row>
  </sheetData>
  <sheetProtection/>
  <mergeCells count="16">
    <mergeCell ref="I25:J25"/>
    <mergeCell ref="A31:J31"/>
    <mergeCell ref="A33:J33"/>
    <mergeCell ref="A9:A10"/>
    <mergeCell ref="B9:B10"/>
    <mergeCell ref="C9:F9"/>
    <mergeCell ref="G9:J9"/>
    <mergeCell ref="I24:J24"/>
    <mergeCell ref="I26:J26"/>
    <mergeCell ref="E14:H15"/>
    <mergeCell ref="E1:I1"/>
    <mergeCell ref="A2:J2"/>
    <mergeCell ref="A3:J3"/>
    <mergeCell ref="A5:J5"/>
    <mergeCell ref="A8:B8"/>
    <mergeCell ref="H8:J8"/>
  </mergeCells>
  <printOptions horizontalCentered="1"/>
  <pageMargins left="0.36" right="0.23" top="1.34" bottom="0" header="0.93" footer="0.31496062992125984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view="pageBreakPreview" zoomScaleSheetLayoutView="100" zoomScalePageLayoutView="0" workbookViewId="0" topLeftCell="A4">
      <selection activeCell="I26" sqref="I26:J26"/>
    </sheetView>
  </sheetViews>
  <sheetFormatPr defaultColWidth="9.140625" defaultRowHeight="12.75"/>
  <cols>
    <col min="1" max="1" width="5.8515625" style="16" customWidth="1"/>
    <col min="2" max="2" width="13.57421875" style="16" customWidth="1"/>
    <col min="3" max="3" width="11.00390625" style="16" customWidth="1"/>
    <col min="4" max="4" width="10.00390625" style="16" customWidth="1"/>
    <col min="5" max="5" width="13.140625" style="16" customWidth="1"/>
    <col min="6" max="6" width="14.8515625" style="16" customWidth="1"/>
    <col min="7" max="7" width="13.28125" style="16" customWidth="1"/>
    <col min="8" max="8" width="14.7109375" style="16" customWidth="1"/>
    <col min="9" max="9" width="17.7109375" style="16" customWidth="1"/>
    <col min="10" max="10" width="19.28125" style="16" customWidth="1"/>
    <col min="11" max="16384" width="9.140625" style="16" customWidth="1"/>
  </cols>
  <sheetData>
    <row r="1" spans="5:10" ht="12.75">
      <c r="E1" s="676"/>
      <c r="F1" s="676"/>
      <c r="G1" s="676"/>
      <c r="H1" s="676"/>
      <c r="I1" s="676"/>
      <c r="J1" s="49" t="s">
        <v>358</v>
      </c>
    </row>
    <row r="2" spans="1:10" ht="15">
      <c r="A2" s="772" t="s">
        <v>0</v>
      </c>
      <c r="B2" s="772"/>
      <c r="C2" s="772"/>
      <c r="D2" s="772"/>
      <c r="E2" s="772"/>
      <c r="F2" s="772"/>
      <c r="G2" s="772"/>
      <c r="H2" s="772"/>
      <c r="I2" s="772"/>
      <c r="J2" s="772"/>
    </row>
    <row r="3" spans="1:10" ht="20.25">
      <c r="A3" s="701" t="s">
        <v>878</v>
      </c>
      <c r="B3" s="701"/>
      <c r="C3" s="701"/>
      <c r="D3" s="701"/>
      <c r="E3" s="701"/>
      <c r="F3" s="701"/>
      <c r="G3" s="701"/>
      <c r="H3" s="701"/>
      <c r="I3" s="701"/>
      <c r="J3" s="701"/>
    </row>
    <row r="4" ht="14.25" customHeight="1"/>
    <row r="5" spans="1:10" ht="31.5" customHeight="1">
      <c r="A5" s="773" t="s">
        <v>893</v>
      </c>
      <c r="B5" s="773"/>
      <c r="C5" s="773"/>
      <c r="D5" s="773"/>
      <c r="E5" s="773"/>
      <c r="F5" s="773"/>
      <c r="G5" s="773"/>
      <c r="H5" s="773"/>
      <c r="I5" s="773"/>
      <c r="J5" s="773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668" t="s">
        <v>472</v>
      </c>
      <c r="B8" s="668"/>
      <c r="C8" s="29"/>
      <c r="H8" s="763" t="s">
        <v>930</v>
      </c>
      <c r="I8" s="763"/>
      <c r="J8" s="763"/>
    </row>
    <row r="9" spans="1:16" s="280" customFormat="1" ht="16.5" customHeight="1">
      <c r="A9" s="674" t="s">
        <v>490</v>
      </c>
      <c r="B9" s="674" t="s">
        <v>3</v>
      </c>
      <c r="C9" s="727" t="s">
        <v>890</v>
      </c>
      <c r="D9" s="728"/>
      <c r="E9" s="728"/>
      <c r="F9" s="729"/>
      <c r="G9" s="727" t="s">
        <v>99</v>
      </c>
      <c r="H9" s="728"/>
      <c r="I9" s="728"/>
      <c r="J9" s="729"/>
      <c r="O9" s="148"/>
      <c r="P9" s="281"/>
    </row>
    <row r="10" spans="1:10" s="280" customFormat="1" ht="44.25" customHeight="1">
      <c r="A10" s="674"/>
      <c r="B10" s="674"/>
      <c r="C10" s="257" t="s">
        <v>180</v>
      </c>
      <c r="D10" s="257" t="s">
        <v>14</v>
      </c>
      <c r="E10" s="253" t="s">
        <v>360</v>
      </c>
      <c r="F10" s="253" t="s">
        <v>196</v>
      </c>
      <c r="G10" s="257" t="s">
        <v>180</v>
      </c>
      <c r="H10" s="278" t="s">
        <v>15</v>
      </c>
      <c r="I10" s="279" t="s">
        <v>106</v>
      </c>
      <c r="J10" s="257" t="s">
        <v>857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4">
        <v>8</v>
      </c>
      <c r="I11" s="5">
        <v>9</v>
      </c>
      <c r="J11" s="5">
        <v>10</v>
      </c>
    </row>
    <row r="12" spans="1:10" ht="12.75">
      <c r="A12" s="8">
        <v>1</v>
      </c>
      <c r="B12" s="19" t="s">
        <v>473</v>
      </c>
      <c r="C12" s="19"/>
      <c r="D12" s="19"/>
      <c r="E12" s="19"/>
      <c r="F12" s="106"/>
      <c r="G12" s="19"/>
      <c r="H12" s="26"/>
      <c r="I12" s="26"/>
      <c r="J12" s="26"/>
    </row>
    <row r="13" spans="1:10" ht="12.75">
      <c r="A13" s="8">
        <v>2</v>
      </c>
      <c r="B13" s="19" t="s">
        <v>474</v>
      </c>
      <c r="C13" s="19"/>
      <c r="D13" s="19"/>
      <c r="E13" s="19"/>
      <c r="F13" s="25"/>
      <c r="G13" s="19"/>
      <c r="H13" s="26"/>
      <c r="I13" s="26"/>
      <c r="J13" s="26"/>
    </row>
    <row r="14" spans="1:10" ht="12.75">
      <c r="A14" s="8">
        <v>3</v>
      </c>
      <c r="B14" s="19" t="s">
        <v>475</v>
      </c>
      <c r="C14" s="19"/>
      <c r="D14" s="19"/>
      <c r="E14" s="788" t="s">
        <v>507</v>
      </c>
      <c r="F14" s="789"/>
      <c r="G14" s="789"/>
      <c r="H14" s="790"/>
      <c r="I14" s="26"/>
      <c r="J14" s="26"/>
    </row>
    <row r="15" spans="1:10" ht="12.75">
      <c r="A15" s="8">
        <v>4</v>
      </c>
      <c r="B15" s="19" t="s">
        <v>476</v>
      </c>
      <c r="C15" s="19"/>
      <c r="D15" s="19"/>
      <c r="E15" s="791"/>
      <c r="F15" s="792"/>
      <c r="G15" s="792"/>
      <c r="H15" s="793"/>
      <c r="I15" s="26"/>
      <c r="J15" s="26"/>
    </row>
    <row r="16" spans="1:10" ht="12.75">
      <c r="A16" s="8">
        <v>5</v>
      </c>
      <c r="B16" s="19" t="s">
        <v>477</v>
      </c>
      <c r="C16" s="19"/>
      <c r="D16" s="19"/>
      <c r="E16" s="19"/>
      <c r="F16" s="25"/>
      <c r="G16" s="19"/>
      <c r="H16" s="26"/>
      <c r="I16" s="26"/>
      <c r="J16" s="26"/>
    </row>
    <row r="17" spans="1:10" ht="12.75">
      <c r="A17" s="8">
        <v>6</v>
      </c>
      <c r="B17" s="19" t="s">
        <v>478</v>
      </c>
      <c r="C17" s="19"/>
      <c r="D17" s="19"/>
      <c r="E17" s="19"/>
      <c r="F17" s="25"/>
      <c r="G17" s="19"/>
      <c r="H17" s="26"/>
      <c r="I17" s="26"/>
      <c r="J17" s="26"/>
    </row>
    <row r="18" spans="1:10" ht="12.75">
      <c r="A18" s="8">
        <v>7</v>
      </c>
      <c r="B18" s="19" t="s">
        <v>479</v>
      </c>
      <c r="C18" s="19"/>
      <c r="D18" s="19"/>
      <c r="E18" s="19"/>
      <c r="F18" s="25"/>
      <c r="G18" s="19"/>
      <c r="H18" s="26"/>
      <c r="I18" s="26"/>
      <c r="J18" s="26"/>
    </row>
    <row r="19" spans="1:10" ht="12.75">
      <c r="A19" s="8">
        <v>8</v>
      </c>
      <c r="B19" s="19" t="s">
        <v>480</v>
      </c>
      <c r="C19" s="19"/>
      <c r="D19" s="19"/>
      <c r="E19" s="19"/>
      <c r="F19" s="25"/>
      <c r="G19" s="19"/>
      <c r="H19" s="26"/>
      <c r="I19" s="26"/>
      <c r="J19" s="26"/>
    </row>
    <row r="20" spans="1:10" ht="12.75">
      <c r="A20" s="3"/>
      <c r="B20" s="27" t="s">
        <v>481</v>
      </c>
      <c r="C20" s="19"/>
      <c r="D20" s="19"/>
      <c r="E20" s="19"/>
      <c r="F20" s="25"/>
      <c r="G20" s="19"/>
      <c r="H20" s="26"/>
      <c r="I20" s="26"/>
      <c r="J20" s="26"/>
    </row>
    <row r="21" spans="1:10" ht="7.5" customHeight="1">
      <c r="A21" s="12"/>
      <c r="B21" s="28"/>
      <c r="C21" s="28"/>
      <c r="D21" s="21"/>
      <c r="E21" s="21"/>
      <c r="F21" s="21"/>
      <c r="G21" s="21"/>
      <c r="H21" s="21"/>
      <c r="I21" s="21"/>
      <c r="J21" s="21"/>
    </row>
    <row r="22" spans="1:10" ht="12.75">
      <c r="A22" s="230" t="s">
        <v>856</v>
      </c>
      <c r="B22" s="230"/>
      <c r="C22" s="230"/>
      <c r="D22" s="230"/>
      <c r="E22" s="230"/>
      <c r="F22" s="230"/>
      <c r="G22" s="230"/>
      <c r="H22" s="24"/>
      <c r="I22" s="24" t="s">
        <v>11</v>
      </c>
      <c r="J22" s="21"/>
    </row>
    <row r="23" spans="1:10" ht="9.75" customHeight="1">
      <c r="A23" s="12"/>
      <c r="B23" s="28"/>
      <c r="C23" s="28"/>
      <c r="D23" s="21"/>
      <c r="E23" s="21"/>
      <c r="F23" s="21"/>
      <c r="G23" s="21"/>
      <c r="H23" s="21"/>
      <c r="I23" s="21"/>
      <c r="J23" s="21"/>
    </row>
    <row r="24" spans="1:10" ht="13.5" customHeight="1">
      <c r="A24" s="15" t="s">
        <v>12</v>
      </c>
      <c r="B24" s="15"/>
      <c r="C24" s="15"/>
      <c r="D24" s="15"/>
      <c r="E24" s="15"/>
      <c r="F24" s="15"/>
      <c r="G24" s="15"/>
      <c r="I24" s="778"/>
      <c r="J24" s="778"/>
    </row>
    <row r="25" spans="2:10" ht="12.75" customHeight="1">
      <c r="B25" s="86"/>
      <c r="C25" s="86"/>
      <c r="D25" s="86"/>
      <c r="E25" s="86"/>
      <c r="F25" s="86"/>
      <c r="G25" s="86"/>
      <c r="H25" s="86"/>
      <c r="I25" s="699" t="s">
        <v>1062</v>
      </c>
      <c r="J25" s="699"/>
    </row>
    <row r="26" spans="2:10" ht="12.75" customHeight="1">
      <c r="B26" s="86"/>
      <c r="C26" s="86"/>
      <c r="D26" s="86"/>
      <c r="E26" s="86"/>
      <c r="F26" s="86"/>
      <c r="G26" s="86"/>
      <c r="H26" s="86"/>
      <c r="I26" s="699" t="s">
        <v>485</v>
      </c>
      <c r="J26" s="699"/>
    </row>
    <row r="27" spans="1:10" ht="12.75">
      <c r="A27" s="15"/>
      <c r="B27" s="15"/>
      <c r="C27" s="15"/>
      <c r="E27" s="15"/>
      <c r="H27" s="668" t="s">
        <v>491</v>
      </c>
      <c r="I27" s="668"/>
      <c r="J27" s="668"/>
    </row>
    <row r="31" spans="1:10" ht="12.75">
      <c r="A31" s="780"/>
      <c r="B31" s="780"/>
      <c r="C31" s="780"/>
      <c r="D31" s="780"/>
      <c r="E31" s="780"/>
      <c r="F31" s="780"/>
      <c r="G31" s="780"/>
      <c r="H31" s="780"/>
      <c r="I31" s="780"/>
      <c r="J31" s="780"/>
    </row>
    <row r="33" spans="1:10" ht="12.75">
      <c r="A33" s="780"/>
      <c r="B33" s="780"/>
      <c r="C33" s="780"/>
      <c r="D33" s="780"/>
      <c r="E33" s="780"/>
      <c r="F33" s="780"/>
      <c r="G33" s="780"/>
      <c r="H33" s="780"/>
      <c r="I33" s="780"/>
      <c r="J33" s="780"/>
    </row>
  </sheetData>
  <sheetProtection/>
  <mergeCells count="17">
    <mergeCell ref="E14:H15"/>
    <mergeCell ref="E1:I1"/>
    <mergeCell ref="A2:J2"/>
    <mergeCell ref="A3:J3"/>
    <mergeCell ref="A5:J5"/>
    <mergeCell ref="A8:B8"/>
    <mergeCell ref="H8:J8"/>
    <mergeCell ref="I26:J26"/>
    <mergeCell ref="H27:J27"/>
    <mergeCell ref="A31:J31"/>
    <mergeCell ref="A33:J33"/>
    <mergeCell ref="A9:A10"/>
    <mergeCell ref="B9:B10"/>
    <mergeCell ref="C9:F9"/>
    <mergeCell ref="G9:J9"/>
    <mergeCell ref="I24:J24"/>
    <mergeCell ref="I25:J25"/>
  </mergeCells>
  <printOptions horizontalCentered="1"/>
  <pageMargins left="0.52" right="0.21" top="1.24" bottom="0" header="0.67" footer="0.31496062992125984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view="pageBreakPreview" zoomScaleSheetLayoutView="100" zoomScalePageLayoutView="0" workbookViewId="0" topLeftCell="A4">
      <selection activeCell="I26" sqref="I26:J26"/>
    </sheetView>
  </sheetViews>
  <sheetFormatPr defaultColWidth="9.140625" defaultRowHeight="12.75"/>
  <cols>
    <col min="1" max="1" width="5.28125" style="16" customWidth="1"/>
    <col min="2" max="2" width="14.00390625" style="16" customWidth="1"/>
    <col min="3" max="3" width="11.00390625" style="16" customWidth="1"/>
    <col min="4" max="4" width="10.00390625" style="16" customWidth="1"/>
    <col min="5" max="5" width="11.140625" style="16" customWidth="1"/>
    <col min="6" max="6" width="15.00390625" style="16" customWidth="1"/>
    <col min="7" max="7" width="13.28125" style="16" customWidth="1"/>
    <col min="8" max="8" width="14.7109375" style="16" customWidth="1"/>
    <col min="9" max="9" width="17.8515625" style="16" customWidth="1"/>
    <col min="10" max="10" width="19.28125" style="16" customWidth="1"/>
    <col min="11" max="16384" width="9.140625" style="16" customWidth="1"/>
  </cols>
  <sheetData>
    <row r="1" spans="5:10" ht="12.75">
      <c r="E1" s="676"/>
      <c r="F1" s="676"/>
      <c r="G1" s="676"/>
      <c r="H1" s="676"/>
      <c r="I1" s="676"/>
      <c r="J1" s="49" t="s">
        <v>433</v>
      </c>
    </row>
    <row r="2" spans="1:10" ht="15">
      <c r="A2" s="772" t="s">
        <v>0</v>
      </c>
      <c r="B2" s="772"/>
      <c r="C2" s="772"/>
      <c r="D2" s="772"/>
      <c r="E2" s="772"/>
      <c r="F2" s="772"/>
      <c r="G2" s="772"/>
      <c r="H2" s="772"/>
      <c r="I2" s="772"/>
      <c r="J2" s="772"/>
    </row>
    <row r="3" spans="1:10" ht="20.25">
      <c r="A3" s="701" t="s">
        <v>878</v>
      </c>
      <c r="B3" s="701"/>
      <c r="C3" s="701"/>
      <c r="D3" s="701"/>
      <c r="E3" s="701"/>
      <c r="F3" s="701"/>
      <c r="G3" s="701"/>
      <c r="H3" s="701"/>
      <c r="I3" s="701"/>
      <c r="J3" s="701"/>
    </row>
    <row r="4" ht="14.25" customHeight="1"/>
    <row r="5" spans="1:10" ht="31.5" customHeight="1">
      <c r="A5" s="773" t="s">
        <v>894</v>
      </c>
      <c r="B5" s="773"/>
      <c r="C5" s="773"/>
      <c r="D5" s="773"/>
      <c r="E5" s="773"/>
      <c r="F5" s="773"/>
      <c r="G5" s="773"/>
      <c r="H5" s="773"/>
      <c r="I5" s="773"/>
      <c r="J5" s="773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668" t="s">
        <v>472</v>
      </c>
      <c r="B8" s="668"/>
      <c r="C8" s="29"/>
      <c r="H8" s="763" t="s">
        <v>930</v>
      </c>
      <c r="I8" s="763"/>
      <c r="J8" s="763"/>
    </row>
    <row r="9" spans="1:16" s="280" customFormat="1" ht="12.75">
      <c r="A9" s="674" t="s">
        <v>487</v>
      </c>
      <c r="B9" s="674" t="s">
        <v>3</v>
      </c>
      <c r="C9" s="727" t="s">
        <v>890</v>
      </c>
      <c r="D9" s="728"/>
      <c r="E9" s="728"/>
      <c r="F9" s="729"/>
      <c r="G9" s="727" t="s">
        <v>99</v>
      </c>
      <c r="H9" s="728"/>
      <c r="I9" s="728"/>
      <c r="J9" s="729"/>
      <c r="O9" s="148"/>
      <c r="P9" s="281"/>
    </row>
    <row r="10" spans="1:10" s="280" customFormat="1" ht="53.25" customHeight="1">
      <c r="A10" s="674"/>
      <c r="B10" s="674"/>
      <c r="C10" s="257" t="s">
        <v>180</v>
      </c>
      <c r="D10" s="257" t="s">
        <v>14</v>
      </c>
      <c r="E10" s="253" t="s">
        <v>361</v>
      </c>
      <c r="F10" s="253" t="s">
        <v>196</v>
      </c>
      <c r="G10" s="257" t="s">
        <v>180</v>
      </c>
      <c r="H10" s="278" t="s">
        <v>15</v>
      </c>
      <c r="I10" s="279" t="s">
        <v>106</v>
      </c>
      <c r="J10" s="257" t="s">
        <v>857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4">
        <v>8</v>
      </c>
      <c r="I11" s="5">
        <v>9</v>
      </c>
      <c r="J11" s="5">
        <v>10</v>
      </c>
    </row>
    <row r="12" spans="1:10" ht="12.75">
      <c r="A12" s="8">
        <v>1</v>
      </c>
      <c r="B12" s="19" t="s">
        <v>473</v>
      </c>
      <c r="C12" s="19"/>
      <c r="D12" s="19"/>
      <c r="E12" s="19"/>
      <c r="F12" s="106"/>
      <c r="G12" s="19"/>
      <c r="H12" s="26"/>
      <c r="I12" s="26"/>
      <c r="J12" s="26"/>
    </row>
    <row r="13" spans="1:10" ht="12.75">
      <c r="A13" s="8">
        <v>2</v>
      </c>
      <c r="B13" s="19" t="s">
        <v>474</v>
      </c>
      <c r="C13" s="19"/>
      <c r="D13" s="19"/>
      <c r="E13" s="19"/>
      <c r="F13" s="25"/>
      <c r="G13" s="19"/>
      <c r="H13" s="26"/>
      <c r="I13" s="26"/>
      <c r="J13" s="26"/>
    </row>
    <row r="14" spans="1:10" ht="12.75">
      <c r="A14" s="8">
        <v>3</v>
      </c>
      <c r="B14" s="19" t="s">
        <v>475</v>
      </c>
      <c r="C14" s="19"/>
      <c r="D14" s="19"/>
      <c r="E14" s="788" t="s">
        <v>507</v>
      </c>
      <c r="F14" s="789"/>
      <c r="G14" s="789"/>
      <c r="H14" s="790"/>
      <c r="I14" s="26"/>
      <c r="J14" s="26"/>
    </row>
    <row r="15" spans="1:10" ht="12.75">
      <c r="A15" s="8">
        <v>4</v>
      </c>
      <c r="B15" s="19" t="s">
        <v>476</v>
      </c>
      <c r="C15" s="19"/>
      <c r="D15" s="19"/>
      <c r="E15" s="791"/>
      <c r="F15" s="792"/>
      <c r="G15" s="792"/>
      <c r="H15" s="793"/>
      <c r="I15" s="26"/>
      <c r="J15" s="26"/>
    </row>
    <row r="16" spans="1:10" ht="12.75">
      <c r="A16" s="8">
        <v>5</v>
      </c>
      <c r="B16" s="19" t="s">
        <v>477</v>
      </c>
      <c r="C16" s="19"/>
      <c r="D16" s="19"/>
      <c r="E16" s="19"/>
      <c r="F16" s="25"/>
      <c r="G16" s="19"/>
      <c r="H16" s="26"/>
      <c r="I16" s="26"/>
      <c r="J16" s="26"/>
    </row>
    <row r="17" spans="1:10" ht="12.75">
      <c r="A17" s="8">
        <v>6</v>
      </c>
      <c r="B17" s="19" t="s">
        <v>478</v>
      </c>
      <c r="C17" s="19"/>
      <c r="D17" s="19"/>
      <c r="E17" s="19"/>
      <c r="F17" s="25"/>
      <c r="G17" s="19"/>
      <c r="H17" s="26"/>
      <c r="I17" s="26"/>
      <c r="J17" s="26"/>
    </row>
    <row r="18" spans="1:10" ht="12.75">
      <c r="A18" s="8">
        <v>7</v>
      </c>
      <c r="B18" s="19" t="s">
        <v>479</v>
      </c>
      <c r="C18" s="19"/>
      <c r="D18" s="19"/>
      <c r="E18" s="19"/>
      <c r="F18" s="25"/>
      <c r="G18" s="19"/>
      <c r="H18" s="26"/>
      <c r="I18" s="26"/>
      <c r="J18" s="26"/>
    </row>
    <row r="19" spans="1:10" ht="12.75">
      <c r="A19" s="8">
        <v>8</v>
      </c>
      <c r="B19" s="19" t="s">
        <v>480</v>
      </c>
      <c r="C19" s="19"/>
      <c r="D19" s="19"/>
      <c r="E19" s="19"/>
      <c r="F19" s="25"/>
      <c r="G19" s="19"/>
      <c r="H19" s="26"/>
      <c r="I19" s="26"/>
      <c r="J19" s="26"/>
    </row>
    <row r="20" spans="1:10" ht="12.75">
      <c r="A20" s="3"/>
      <c r="B20" s="27" t="s">
        <v>481</v>
      </c>
      <c r="C20" s="19"/>
      <c r="D20" s="19"/>
      <c r="E20" s="19"/>
      <c r="F20" s="25"/>
      <c r="G20" s="19"/>
      <c r="H20" s="26"/>
      <c r="I20" s="26"/>
      <c r="J20" s="26"/>
    </row>
    <row r="21" spans="1:10" ht="9.75" customHeight="1">
      <c r="A21" s="12"/>
      <c r="B21" s="28"/>
      <c r="C21" s="28"/>
      <c r="D21" s="21"/>
      <c r="E21" s="21"/>
      <c r="F21" s="21"/>
      <c r="G21" s="21"/>
      <c r="H21" s="21"/>
      <c r="I21" s="21"/>
      <c r="J21" s="21"/>
    </row>
    <row r="22" spans="1:10" ht="12.75">
      <c r="A22" s="230" t="s">
        <v>856</v>
      </c>
      <c r="B22" s="230"/>
      <c r="C22" s="230"/>
      <c r="D22" s="230"/>
      <c r="E22" s="230"/>
      <c r="F22" s="230"/>
      <c r="G22" s="230"/>
      <c r="H22" s="24"/>
      <c r="I22" s="24" t="s">
        <v>11</v>
      </c>
      <c r="J22" s="21"/>
    </row>
    <row r="23" spans="1:10" ht="9.75" customHeight="1">
      <c r="A23" s="12"/>
      <c r="B23" s="28"/>
      <c r="C23" s="28"/>
      <c r="D23" s="21"/>
      <c r="E23" s="21"/>
      <c r="F23" s="21"/>
      <c r="G23" s="21"/>
      <c r="H23" s="21"/>
      <c r="I23" s="21"/>
      <c r="J23" s="21"/>
    </row>
    <row r="24" spans="1:10" ht="12.75" customHeight="1">
      <c r="A24" s="15" t="s">
        <v>12</v>
      </c>
      <c r="B24" s="15"/>
      <c r="C24" s="15"/>
      <c r="D24" s="15"/>
      <c r="E24" s="15"/>
      <c r="F24" s="15"/>
      <c r="G24" s="15"/>
      <c r="I24" s="778"/>
      <c r="J24" s="778"/>
    </row>
    <row r="25" spans="2:10" ht="12.75" customHeight="1">
      <c r="B25" s="86"/>
      <c r="C25" s="86"/>
      <c r="D25" s="86"/>
      <c r="E25" s="86"/>
      <c r="F25" s="86"/>
      <c r="G25" s="86"/>
      <c r="H25" s="86"/>
      <c r="I25" s="699" t="s">
        <v>1062</v>
      </c>
      <c r="J25" s="699"/>
    </row>
    <row r="26" spans="2:10" ht="12.75" customHeight="1">
      <c r="B26" s="86"/>
      <c r="C26" s="86"/>
      <c r="D26" s="86"/>
      <c r="E26" s="86"/>
      <c r="F26" s="86"/>
      <c r="G26" s="86"/>
      <c r="H26" s="86"/>
      <c r="I26" s="699" t="s">
        <v>485</v>
      </c>
      <c r="J26" s="699"/>
    </row>
    <row r="27" spans="1:10" ht="12.75">
      <c r="A27" s="15"/>
      <c r="B27" s="15"/>
      <c r="C27" s="15"/>
      <c r="E27" s="15"/>
      <c r="H27" s="668" t="s">
        <v>491</v>
      </c>
      <c r="I27" s="668"/>
      <c r="J27" s="668"/>
    </row>
    <row r="31" spans="1:10" ht="12.75">
      <c r="A31" s="780"/>
      <c r="B31" s="780"/>
      <c r="C31" s="780"/>
      <c r="D31" s="780"/>
      <c r="E31" s="780"/>
      <c r="F31" s="780"/>
      <c r="G31" s="780"/>
      <c r="H31" s="780"/>
      <c r="I31" s="780"/>
      <c r="J31" s="780"/>
    </row>
    <row r="33" spans="1:10" ht="12.75">
      <c r="A33" s="780"/>
      <c r="B33" s="780"/>
      <c r="C33" s="780"/>
      <c r="D33" s="780"/>
      <c r="E33" s="780"/>
      <c r="F33" s="780"/>
      <c r="G33" s="780"/>
      <c r="H33" s="780"/>
      <c r="I33" s="780"/>
      <c r="J33" s="780"/>
    </row>
  </sheetData>
  <sheetProtection/>
  <mergeCells count="17">
    <mergeCell ref="C9:F9"/>
    <mergeCell ref="G9:J9"/>
    <mergeCell ref="E1:I1"/>
    <mergeCell ref="A2:J2"/>
    <mergeCell ref="A3:J3"/>
    <mergeCell ref="A5:J5"/>
    <mergeCell ref="A8:B8"/>
    <mergeCell ref="A33:J33"/>
    <mergeCell ref="H8:J8"/>
    <mergeCell ref="I24:J24"/>
    <mergeCell ref="I26:J26"/>
    <mergeCell ref="H27:J27"/>
    <mergeCell ref="A31:J31"/>
    <mergeCell ref="E14:H15"/>
    <mergeCell ref="A9:A10"/>
    <mergeCell ref="B9:B10"/>
    <mergeCell ref="I25:J25"/>
  </mergeCells>
  <printOptions horizontalCentered="1"/>
  <pageMargins left="0.51" right="0.28" top="1.04" bottom="0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.00390625" style="0" customWidth="1"/>
    <col min="2" max="2" width="10.8515625" style="0" customWidth="1"/>
    <col min="3" max="3" width="98.28125" style="0" customWidth="1"/>
    <col min="4" max="4" width="3.28125" style="0" hidden="1" customWidth="1"/>
  </cols>
  <sheetData>
    <row r="1" spans="1:7" ht="21.75" customHeight="1">
      <c r="A1" s="652" t="s">
        <v>557</v>
      </c>
      <c r="B1" s="652"/>
      <c r="C1" s="652"/>
      <c r="D1" s="652"/>
      <c r="E1" s="419"/>
      <c r="F1" s="419"/>
      <c r="G1" s="419"/>
    </row>
    <row r="2" spans="1:3" ht="12.75">
      <c r="A2" s="3" t="s">
        <v>70</v>
      </c>
      <c r="B2" s="3" t="s">
        <v>558</v>
      </c>
      <c r="C2" s="3" t="s">
        <v>559</v>
      </c>
    </row>
    <row r="3" spans="1:3" ht="12.75">
      <c r="A3" s="8">
        <v>1</v>
      </c>
      <c r="B3" s="464" t="s">
        <v>560</v>
      </c>
      <c r="C3" s="464" t="s">
        <v>956</v>
      </c>
    </row>
    <row r="4" spans="1:3" ht="12.75">
      <c r="A4" s="8">
        <v>2</v>
      </c>
      <c r="B4" s="464" t="s">
        <v>561</v>
      </c>
      <c r="C4" s="464" t="s">
        <v>957</v>
      </c>
    </row>
    <row r="5" spans="1:3" ht="12.75">
      <c r="A5" s="8">
        <v>3</v>
      </c>
      <c r="B5" s="464" t="s">
        <v>688</v>
      </c>
      <c r="C5" s="464" t="s">
        <v>958</v>
      </c>
    </row>
    <row r="6" spans="1:3" ht="12.75">
      <c r="A6" s="8">
        <v>4</v>
      </c>
      <c r="B6" s="464" t="s">
        <v>959</v>
      </c>
      <c r="C6" s="464" t="s">
        <v>960</v>
      </c>
    </row>
    <row r="7" spans="1:3" ht="12.75">
      <c r="A7" s="8">
        <v>5</v>
      </c>
      <c r="B7" s="464" t="s">
        <v>562</v>
      </c>
      <c r="C7" s="464" t="s">
        <v>961</v>
      </c>
    </row>
    <row r="8" spans="1:3" ht="12.75">
      <c r="A8" s="8">
        <v>6</v>
      </c>
      <c r="B8" s="464" t="s">
        <v>563</v>
      </c>
      <c r="C8" s="464" t="s">
        <v>962</v>
      </c>
    </row>
    <row r="9" spans="1:3" ht="12.75">
      <c r="A9" s="8">
        <v>7</v>
      </c>
      <c r="B9" s="464" t="s">
        <v>564</v>
      </c>
      <c r="C9" s="464" t="s">
        <v>963</v>
      </c>
    </row>
    <row r="10" spans="1:3" ht="12.75">
      <c r="A10" s="8">
        <v>8</v>
      </c>
      <c r="B10" s="464" t="s">
        <v>565</v>
      </c>
      <c r="C10" s="464" t="s">
        <v>964</v>
      </c>
    </row>
    <row r="11" spans="1:3" ht="12.75">
      <c r="A11" s="8">
        <v>9</v>
      </c>
      <c r="B11" s="464" t="s">
        <v>566</v>
      </c>
      <c r="C11" s="464" t="s">
        <v>965</v>
      </c>
    </row>
    <row r="12" spans="1:3" ht="12.75">
      <c r="A12" s="8">
        <v>10</v>
      </c>
      <c r="B12" s="464" t="s">
        <v>567</v>
      </c>
      <c r="C12" s="464" t="s">
        <v>966</v>
      </c>
    </row>
    <row r="13" spans="1:3" ht="12.75">
      <c r="A13" s="8">
        <v>11</v>
      </c>
      <c r="B13" s="464" t="s">
        <v>760</v>
      </c>
      <c r="C13" s="464" t="s">
        <v>761</v>
      </c>
    </row>
    <row r="14" spans="1:3" ht="12.75">
      <c r="A14" s="8">
        <v>12</v>
      </c>
      <c r="B14" s="464" t="s">
        <v>568</v>
      </c>
      <c r="C14" s="464" t="s">
        <v>967</v>
      </c>
    </row>
    <row r="15" spans="1:3" ht="12.75">
      <c r="A15" s="8">
        <v>13</v>
      </c>
      <c r="B15" s="464" t="s">
        <v>569</v>
      </c>
      <c r="C15" s="464" t="s">
        <v>968</v>
      </c>
    </row>
    <row r="16" spans="1:3" ht="12.75">
      <c r="A16" s="8">
        <v>14</v>
      </c>
      <c r="B16" s="464" t="s">
        <v>570</v>
      </c>
      <c r="C16" s="464" t="s">
        <v>969</v>
      </c>
    </row>
    <row r="17" spans="1:3" ht="12.75">
      <c r="A17" s="8">
        <v>15</v>
      </c>
      <c r="B17" s="464" t="s">
        <v>571</v>
      </c>
      <c r="C17" s="464" t="s">
        <v>970</v>
      </c>
    </row>
    <row r="18" spans="1:3" ht="12.75">
      <c r="A18" s="8">
        <v>16</v>
      </c>
      <c r="B18" s="464" t="s">
        <v>572</v>
      </c>
      <c r="C18" s="464" t="s">
        <v>971</v>
      </c>
    </row>
    <row r="19" spans="1:3" ht="12.75">
      <c r="A19" s="8">
        <v>17</v>
      </c>
      <c r="B19" s="464" t="s">
        <v>573</v>
      </c>
      <c r="C19" s="464" t="s">
        <v>972</v>
      </c>
    </row>
    <row r="20" spans="1:3" ht="12.75">
      <c r="A20" s="8">
        <v>18</v>
      </c>
      <c r="B20" s="464" t="s">
        <v>574</v>
      </c>
      <c r="C20" s="464" t="s">
        <v>973</v>
      </c>
    </row>
    <row r="21" spans="1:3" ht="12.75">
      <c r="A21" s="8">
        <v>19</v>
      </c>
      <c r="B21" s="464" t="s">
        <v>575</v>
      </c>
      <c r="C21" s="464" t="s">
        <v>974</v>
      </c>
    </row>
    <row r="22" spans="1:3" ht="12.75">
      <c r="A22" s="8">
        <v>20</v>
      </c>
      <c r="B22" s="464" t="s">
        <v>576</v>
      </c>
      <c r="C22" s="464" t="s">
        <v>975</v>
      </c>
    </row>
    <row r="23" spans="1:3" ht="12.75">
      <c r="A23" s="8">
        <v>21</v>
      </c>
      <c r="B23" s="464" t="s">
        <v>577</v>
      </c>
      <c r="C23" s="464" t="s">
        <v>976</v>
      </c>
    </row>
    <row r="24" spans="1:3" ht="12.75">
      <c r="A24" s="8">
        <v>22</v>
      </c>
      <c r="B24" s="464" t="s">
        <v>578</v>
      </c>
      <c r="C24" s="464" t="s">
        <v>977</v>
      </c>
    </row>
    <row r="25" spans="1:3" ht="12.75">
      <c r="A25" s="8">
        <v>23</v>
      </c>
      <c r="B25" s="464" t="s">
        <v>579</v>
      </c>
      <c r="C25" s="464" t="s">
        <v>978</v>
      </c>
    </row>
    <row r="26" spans="1:3" ht="12.75">
      <c r="A26" s="8">
        <v>24</v>
      </c>
      <c r="B26" s="464" t="s">
        <v>580</v>
      </c>
      <c r="C26" s="464" t="s">
        <v>979</v>
      </c>
    </row>
    <row r="27" spans="1:3" ht="12.75">
      <c r="A27" s="8">
        <v>25</v>
      </c>
      <c r="B27" s="464" t="s">
        <v>581</v>
      </c>
      <c r="C27" s="464" t="s">
        <v>980</v>
      </c>
    </row>
    <row r="28" spans="1:3" ht="12.75">
      <c r="A28" s="8">
        <v>26</v>
      </c>
      <c r="B28" s="464" t="s">
        <v>582</v>
      </c>
      <c r="C28" s="464" t="s">
        <v>981</v>
      </c>
    </row>
    <row r="29" spans="1:3" ht="12.75">
      <c r="A29" s="8">
        <v>27</v>
      </c>
      <c r="B29" s="464" t="s">
        <v>583</v>
      </c>
      <c r="C29" s="464" t="s">
        <v>982</v>
      </c>
    </row>
    <row r="30" spans="1:3" ht="12.75">
      <c r="A30" s="8">
        <v>28</v>
      </c>
      <c r="B30" s="464" t="s">
        <v>689</v>
      </c>
      <c r="C30" s="464" t="s">
        <v>690</v>
      </c>
    </row>
    <row r="31" spans="1:3" ht="12.75">
      <c r="A31" s="8">
        <v>29</v>
      </c>
      <c r="B31" s="464" t="s">
        <v>691</v>
      </c>
      <c r="C31" s="464" t="s">
        <v>620</v>
      </c>
    </row>
    <row r="32" spans="1:3" ht="12.75">
      <c r="A32" s="8">
        <v>30</v>
      </c>
      <c r="B32" s="464" t="s">
        <v>692</v>
      </c>
      <c r="C32" s="464" t="s">
        <v>608</v>
      </c>
    </row>
    <row r="33" spans="1:3" ht="12.75">
      <c r="A33" s="8">
        <v>31</v>
      </c>
      <c r="B33" s="464" t="s">
        <v>805</v>
      </c>
      <c r="C33" s="464" t="s">
        <v>762</v>
      </c>
    </row>
    <row r="34" spans="1:3" ht="12.75" customHeight="1">
      <c r="A34" s="8">
        <v>32</v>
      </c>
      <c r="B34" s="464" t="s">
        <v>806</v>
      </c>
      <c r="C34" s="464" t="s">
        <v>818</v>
      </c>
    </row>
    <row r="35" spans="1:3" ht="12.75">
      <c r="A35" s="8">
        <v>33</v>
      </c>
      <c r="B35" s="464" t="s">
        <v>584</v>
      </c>
      <c r="C35" s="464" t="s">
        <v>585</v>
      </c>
    </row>
    <row r="36" spans="1:3" ht="12.75">
      <c r="A36" s="8">
        <v>34</v>
      </c>
      <c r="B36" s="464" t="s">
        <v>586</v>
      </c>
      <c r="C36" s="464" t="s">
        <v>585</v>
      </c>
    </row>
    <row r="37" spans="1:3" ht="12.75">
      <c r="A37" s="8">
        <v>35</v>
      </c>
      <c r="B37" s="464" t="s">
        <v>587</v>
      </c>
      <c r="C37" s="464" t="s">
        <v>588</v>
      </c>
    </row>
    <row r="38" spans="1:3" ht="12.75">
      <c r="A38" s="8">
        <v>36</v>
      </c>
      <c r="B38" s="464" t="s">
        <v>589</v>
      </c>
      <c r="C38" s="464" t="s">
        <v>590</v>
      </c>
    </row>
    <row r="39" spans="1:3" ht="12.75">
      <c r="A39" s="8">
        <v>37</v>
      </c>
      <c r="B39" s="464" t="s">
        <v>591</v>
      </c>
      <c r="C39" s="464" t="s">
        <v>610</v>
      </c>
    </row>
    <row r="40" spans="1:3" ht="12.75">
      <c r="A40" s="8">
        <v>38</v>
      </c>
      <c r="B40" s="464" t="s">
        <v>592</v>
      </c>
      <c r="C40" s="464" t="s">
        <v>621</v>
      </c>
    </row>
    <row r="41" spans="1:3" ht="12.75">
      <c r="A41" s="8">
        <v>39</v>
      </c>
      <c r="B41" s="464" t="s">
        <v>593</v>
      </c>
      <c r="C41" s="464" t="s">
        <v>622</v>
      </c>
    </row>
    <row r="42" spans="1:3" ht="12.75">
      <c r="A42" s="8">
        <v>40</v>
      </c>
      <c r="B42" s="464" t="s">
        <v>594</v>
      </c>
      <c r="C42" s="464" t="s">
        <v>623</v>
      </c>
    </row>
    <row r="43" spans="1:3" ht="12.75">
      <c r="A43" s="8">
        <v>41</v>
      </c>
      <c r="B43" s="464" t="s">
        <v>595</v>
      </c>
      <c r="C43" s="464" t="s">
        <v>624</v>
      </c>
    </row>
    <row r="44" spans="1:3" ht="12.75">
      <c r="A44" s="8">
        <v>42</v>
      </c>
      <c r="B44" s="464" t="s">
        <v>596</v>
      </c>
      <c r="C44" s="464" t="s">
        <v>983</v>
      </c>
    </row>
    <row r="45" spans="1:3" ht="12.75">
      <c r="A45" s="8">
        <v>43</v>
      </c>
      <c r="B45" s="464" t="s">
        <v>597</v>
      </c>
      <c r="C45" s="464" t="s">
        <v>598</v>
      </c>
    </row>
    <row r="46" spans="1:3" ht="12.75">
      <c r="A46" s="8">
        <v>44</v>
      </c>
      <c r="B46" s="464" t="s">
        <v>599</v>
      </c>
      <c r="C46" s="464" t="s">
        <v>600</v>
      </c>
    </row>
    <row r="47" spans="1:3" ht="12.75">
      <c r="A47" s="8">
        <v>45</v>
      </c>
      <c r="B47" s="464" t="s">
        <v>601</v>
      </c>
      <c r="C47" s="464" t="s">
        <v>602</v>
      </c>
    </row>
    <row r="48" spans="1:3" ht="12.75">
      <c r="A48" s="8">
        <v>46</v>
      </c>
      <c r="B48" s="464" t="s">
        <v>603</v>
      </c>
      <c r="C48" s="464" t="s">
        <v>615</v>
      </c>
    </row>
    <row r="49" spans="1:3" ht="12.75">
      <c r="A49" s="8">
        <v>47</v>
      </c>
      <c r="B49" s="464" t="s">
        <v>604</v>
      </c>
      <c r="C49" s="464" t="s">
        <v>617</v>
      </c>
    </row>
    <row r="50" spans="1:3" ht="12.75">
      <c r="A50" s="8">
        <v>48</v>
      </c>
      <c r="B50" s="464" t="s">
        <v>605</v>
      </c>
      <c r="C50" s="464" t="s">
        <v>984</v>
      </c>
    </row>
    <row r="51" spans="1:3" ht="12.75">
      <c r="A51" s="8">
        <v>49</v>
      </c>
      <c r="B51" s="464" t="s">
        <v>693</v>
      </c>
      <c r="C51" s="464" t="s">
        <v>985</v>
      </c>
    </row>
    <row r="52" spans="1:3" ht="12.75">
      <c r="A52" s="8">
        <v>50</v>
      </c>
      <c r="B52" s="464" t="s">
        <v>606</v>
      </c>
      <c r="C52" s="464" t="s">
        <v>613</v>
      </c>
    </row>
    <row r="53" spans="1:3" ht="12.75">
      <c r="A53" s="8">
        <v>51</v>
      </c>
      <c r="B53" s="464" t="s">
        <v>607</v>
      </c>
      <c r="C53" s="464" t="s">
        <v>619</v>
      </c>
    </row>
    <row r="54" spans="1:3" ht="12.75">
      <c r="A54" s="8">
        <v>52</v>
      </c>
      <c r="B54" s="464" t="s">
        <v>609</v>
      </c>
      <c r="C54" s="464" t="s">
        <v>986</v>
      </c>
    </row>
    <row r="55" spans="1:3" ht="12.75">
      <c r="A55" s="8">
        <v>53</v>
      </c>
      <c r="B55" s="464" t="s">
        <v>694</v>
      </c>
      <c r="C55" s="464" t="s">
        <v>987</v>
      </c>
    </row>
    <row r="56" spans="1:3" ht="12.75">
      <c r="A56" s="8">
        <v>54</v>
      </c>
      <c r="B56" s="464" t="s">
        <v>611</v>
      </c>
      <c r="C56" s="464" t="s">
        <v>988</v>
      </c>
    </row>
    <row r="57" spans="1:3" ht="12.75">
      <c r="A57" s="8">
        <v>55</v>
      </c>
      <c r="B57" s="464" t="s">
        <v>695</v>
      </c>
      <c r="C57" s="464" t="s">
        <v>989</v>
      </c>
    </row>
    <row r="58" spans="1:3" ht="12.75">
      <c r="A58" s="8">
        <v>56</v>
      </c>
      <c r="B58" s="464" t="s">
        <v>696</v>
      </c>
      <c r="C58" s="464" t="s">
        <v>990</v>
      </c>
    </row>
    <row r="59" spans="1:3" ht="12.75">
      <c r="A59" s="8">
        <v>57</v>
      </c>
      <c r="B59" s="464" t="s">
        <v>697</v>
      </c>
      <c r="C59" s="464" t="s">
        <v>991</v>
      </c>
    </row>
    <row r="60" spans="1:3" ht="12.75">
      <c r="A60" s="8">
        <v>58</v>
      </c>
      <c r="B60" s="464" t="s">
        <v>698</v>
      </c>
      <c r="C60" s="464" t="s">
        <v>992</v>
      </c>
    </row>
    <row r="61" spans="1:3" ht="12.75">
      <c r="A61" s="8">
        <v>59</v>
      </c>
      <c r="B61" s="464" t="s">
        <v>612</v>
      </c>
      <c r="C61" s="464" t="s">
        <v>993</v>
      </c>
    </row>
    <row r="62" spans="1:3" ht="12.75">
      <c r="A62" s="8">
        <v>60</v>
      </c>
      <c r="B62" s="464" t="s">
        <v>699</v>
      </c>
      <c r="C62" s="464" t="s">
        <v>994</v>
      </c>
    </row>
    <row r="63" spans="1:3" ht="12.75">
      <c r="A63" s="8">
        <v>61</v>
      </c>
      <c r="B63" s="464" t="s">
        <v>827</v>
      </c>
      <c r="C63" s="464" t="s">
        <v>828</v>
      </c>
    </row>
    <row r="64" spans="1:3" ht="12.75">
      <c r="A64" s="8">
        <v>62</v>
      </c>
      <c r="B64" s="464" t="s">
        <v>614</v>
      </c>
      <c r="C64" s="464" t="s">
        <v>995</v>
      </c>
    </row>
    <row r="65" spans="1:3" ht="12.75">
      <c r="A65" s="8">
        <v>63</v>
      </c>
      <c r="B65" s="464" t="s">
        <v>829</v>
      </c>
      <c r="C65" s="464" t="s">
        <v>996</v>
      </c>
    </row>
    <row r="66" spans="1:3" ht="12.75">
      <c r="A66" s="8">
        <v>64</v>
      </c>
      <c r="B66" s="464" t="s">
        <v>616</v>
      </c>
      <c r="C66" s="464" t="s">
        <v>997</v>
      </c>
    </row>
    <row r="67" spans="1:3" ht="12.75">
      <c r="A67" s="8">
        <v>65</v>
      </c>
      <c r="B67" s="464" t="s">
        <v>618</v>
      </c>
      <c r="C67" s="464" t="s">
        <v>998</v>
      </c>
    </row>
    <row r="68" spans="1:3" ht="12.75">
      <c r="A68" s="8">
        <v>66</v>
      </c>
      <c r="B68" s="464" t="s">
        <v>763</v>
      </c>
      <c r="C68" s="464" t="s">
        <v>999</v>
      </c>
    </row>
    <row r="69" spans="1:3" ht="12.75">
      <c r="A69" s="8">
        <v>67</v>
      </c>
      <c r="B69" s="464" t="s">
        <v>764</v>
      </c>
      <c r="C69" s="464" t="s">
        <v>971</v>
      </c>
    </row>
    <row r="70" spans="1:3" ht="12.75">
      <c r="A70" s="8">
        <v>68</v>
      </c>
      <c r="B70" s="464" t="s">
        <v>670</v>
      </c>
      <c r="C70" s="464" t="s">
        <v>879</v>
      </c>
    </row>
    <row r="71" spans="1:3" ht="12.75">
      <c r="A71" s="8">
        <v>69</v>
      </c>
      <c r="B71" s="464" t="s">
        <v>671</v>
      </c>
      <c r="C71" s="464" t="s">
        <v>1000</v>
      </c>
    </row>
    <row r="72" spans="1:3" ht="12.75">
      <c r="A72" s="8">
        <v>70</v>
      </c>
      <c r="B72" s="464" t="s">
        <v>672</v>
      </c>
      <c r="C72" s="464" t="s">
        <v>674</v>
      </c>
    </row>
    <row r="73" spans="1:3" ht="12.75">
      <c r="A73" s="8">
        <v>71</v>
      </c>
      <c r="B73" s="464" t="s">
        <v>673</v>
      </c>
      <c r="C73" s="464" t="s">
        <v>1061</v>
      </c>
    </row>
  </sheetData>
  <sheetProtection/>
  <mergeCells count="1">
    <mergeCell ref="A1:D1"/>
  </mergeCells>
  <hyperlinks>
    <hyperlink ref="B3:C3" location="'AT-1-Gen_Info '!A1" display="AT- 1"/>
    <hyperlink ref="B4:C4" location="'AT-2-S1 BUDGET'!A1" display="AT - 2"/>
    <hyperlink ref="B5:C5" location="AT_2A_fundflow!A1" display="AT - 2 A"/>
    <hyperlink ref="B6:C6" location="'AT-2B_DBT'!A1" display="AT - 2 B"/>
    <hyperlink ref="B7:C7" location="'AT-3'!A1" display="AT - 3"/>
    <hyperlink ref="B8:C8" location="'AT3A_cvrg(Insti)_PY'!A1" display="AT- 3 A"/>
    <hyperlink ref="B9:C9" location="'AT3B_cvrg(Insti)_UPY '!A1" display="AT- 3 B"/>
    <hyperlink ref="B10:C10" location="'AT3C_cvrg(Insti)_UPY '!A1" display="AT-3 C"/>
    <hyperlink ref="B11:C11" location="'AT-4B'!A1" display="AT - 4"/>
    <hyperlink ref="B12:C12" location="'enrolment vs availed_UPY'!A1" display="AT - 4 A"/>
    <hyperlink ref="B13:C13" location="'AT-4B'!A1" display="AT - 4 B"/>
    <hyperlink ref="B14:C14" location="T5_PLAN_vs_PRFM!A1" display="AT - 5"/>
    <hyperlink ref="B15:C15" location="'T5A_PLAN_vs_PRFM '!A1" display="AT - 5 A"/>
    <hyperlink ref="B16:C16" location="'T5B_PLAN_vs_PRFM  (2)'!A1" display="AT - 5 B"/>
    <hyperlink ref="B17:C17" location="'T5C_Drought_PLAN_vs_PRFM '!A1" display="AT - 5 C"/>
    <hyperlink ref="B18:C18" location="'T5D_Drought_PLAN_vs_PRFM  '!A1" display="AT - 5 D"/>
    <hyperlink ref="B19:C19" location="T6_FG_py_Utlsn!A1" display="AT - 6"/>
    <hyperlink ref="B20:C20" location="'T6A_FG_Upy_Utlsn '!A1" display="AT - 6 A"/>
    <hyperlink ref="B21:C21" location="T6B_Pay_FG_FCI_Pry!A1" display="AT - 6 B"/>
    <hyperlink ref="B22:C22" location="T6C_Coarse_Grain!A1" display="AT - 6 C"/>
    <hyperlink ref="B23:C23" location="T7_CC_PY_Utlsn!A1" display="AT - 7"/>
    <hyperlink ref="B24:C24" location="'T7ACC_UPY_Utlsn '!A1" display="AT - 7 A"/>
    <hyperlink ref="B25:C25" location="'AT-8_Hon_CCH_Pry'!A1" display="AT - 8"/>
    <hyperlink ref="B26:C26" location="'AT-8A_Hon_CCH_UPry'!A1" display="AT - 8 A"/>
    <hyperlink ref="B27:C27" location="AT9_TA!A1" display="AT - 9"/>
    <hyperlink ref="B28:C28" location="AT10_MME!A1" display="AT - 10"/>
    <hyperlink ref="B29:C29" location="AT10A_!A1" display="AT - 10 A"/>
    <hyperlink ref="B30:C30" location="'AT-10 B'!A1" display="AT - 10 B"/>
    <hyperlink ref="B31:C31" location="'AT-10 C'!A1" display="AT - 10 C"/>
    <hyperlink ref="B32:C32" location="'AT-10D'!A1" display="AT - 10 D"/>
    <hyperlink ref="B33:C33" location="'AT-10 E'!A1" display="AT - 10 E "/>
    <hyperlink ref="B34:C34" location="'AT-10 F'!A1" display="AT - 10 F"/>
    <hyperlink ref="B35:C35" location="'AT11_KS Year wise'!A1" display="AT - 11"/>
    <hyperlink ref="B36:C36" location="'AT11A_KS-District wise'!A1" display="AT - 11 A"/>
    <hyperlink ref="B37:C37" location="'AT12_KD-New'!A1" display="AT - 12"/>
    <hyperlink ref="B38:C38" location="'AT12A_KD-Replacement'!A1" display="AT - 12 A"/>
    <hyperlink ref="B39:C39" location="'Mode of cooking'!A1" display="AT - 13"/>
    <hyperlink ref="B40:C40" location="'AT-14'!A1" display="AT - 14"/>
    <hyperlink ref="B41:C41" location="'AT-14 A'!A1" display="AT - 14 A"/>
    <hyperlink ref="C42" location="'AT-15'!A1" display="Contribution by community in form of  Tithi Bhojan or any other similar practice"/>
    <hyperlink ref="B42" location="'AT-15'!A1" display="AT - 15"/>
    <hyperlink ref="B43:C43" location="'AT-16'!A1" display="AT - 16"/>
    <hyperlink ref="B44:C44" location="'AT_17_Coverage-RBSK '!A1" display="AT - 17"/>
    <hyperlink ref="B45:C45" location="'AT18_Details_Community '!A1" display="AT - 18"/>
    <hyperlink ref="C46" location="AT_19_Impl_Agency!A1" display="Responsibility of Implementation"/>
    <hyperlink ref="B46" location="AT_19_Impl_Agency!A1" display="AT - 19"/>
    <hyperlink ref="B47:C47" location="'AT_20_CentralCookingagency '!A1" display="AT - 20"/>
    <hyperlink ref="B48:C48" location="'AT-21'!A1" display="AT - 21"/>
    <hyperlink ref="B49:C49" location="'AT-22'!A1" display="AT - 22"/>
    <hyperlink ref="B50:C50" location="'AT-23 MIS'!A1" display="AT - 23"/>
    <hyperlink ref="B51:C51" location="'AT-23A _AMS'!A1" display="AT - 23 A"/>
    <hyperlink ref="B52:C52" location="'AT-24'!A1" display="AT - 24"/>
    <hyperlink ref="B53:C53" location="'AT-25'!A1" display="AT - 25"/>
    <hyperlink ref="B54:C54" location="AT26_NoWD!A1" display="AT - 26"/>
    <hyperlink ref="B55:C55" location="AT26A_NoWD!A1" display="AT - 26 A"/>
    <hyperlink ref="B56:C56" location="AT27_Req_FG_CA_Pry!A1" display="AT - 27"/>
    <hyperlink ref="B57:C57" location="'AT27A_Req_FG_CA_U Pry '!A1" display="AT - 27 A"/>
    <hyperlink ref="B58:C58" location="'AT27B_Req_FG_CA_N CLP'!A1" display="AT - 27 B"/>
    <hyperlink ref="B59:C59" location="'AT27C_Req_FG_Drought -Pry '!A1" display="AT - 27 C"/>
    <hyperlink ref="B60:C60" location="'AT27D_Req_FG_Drought -UPry '!A1" display="AT - 27 D"/>
    <hyperlink ref="B61:C61" location="AT_28_RqmtKitchen!A1" display="AT - 28"/>
    <hyperlink ref="B62:C62" location="'AT-28A_RqmtPlinthArea'!A1" display="AT - 28 A"/>
    <hyperlink ref="B63:C63" location="'AT-28B_Kitchen repair'!A1" display="AT - 28 B"/>
    <hyperlink ref="B64:C64" location="'AT29_Replacement KD '!A1" display="AT - 29"/>
    <hyperlink ref="B65:C65" location="'AT29_A_Replacement KD'!A1" display="AT- 29 A"/>
    <hyperlink ref="B66:C66" location="'AT-30_Coook-cum-Helper'!A1" display="AT - 30"/>
    <hyperlink ref="B67:C67" location="'AT_31_Budget_provision '!A1" display="AT - 31"/>
    <hyperlink ref="B68:C68" location="'AT32_Drought Pry Util'!A1" display="AT - 32"/>
    <hyperlink ref="B69:C69" location="'AT-32A Drought UPry Util'!A1" display="AT - 32 A"/>
  </hyperlinks>
  <printOptions/>
  <pageMargins left="0.3" right="0.23" top="0.44" bottom="0.35" header="0.2" footer="0.2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view="pageBreakPreview" zoomScaleSheetLayoutView="100" zoomScalePageLayoutView="0" workbookViewId="0" topLeftCell="A4">
      <selection activeCell="G25" sqref="G25"/>
    </sheetView>
  </sheetViews>
  <sheetFormatPr defaultColWidth="9.140625" defaultRowHeight="12.75"/>
  <cols>
    <col min="1" max="1" width="5.28125" style="16" customWidth="1"/>
    <col min="2" max="2" width="10.8515625" style="16" customWidth="1"/>
    <col min="3" max="3" width="10.57421875" style="16" customWidth="1"/>
    <col min="4" max="4" width="12.140625" style="16" customWidth="1"/>
    <col min="5" max="5" width="8.7109375" style="16" customWidth="1"/>
    <col min="6" max="6" width="11.7109375" style="16" customWidth="1"/>
    <col min="7" max="7" width="15.140625" style="16" customWidth="1"/>
    <col min="8" max="8" width="12.421875" style="16" customWidth="1"/>
    <col min="9" max="9" width="12.140625" style="16" customWidth="1"/>
    <col min="10" max="10" width="9.00390625" style="16" customWidth="1"/>
    <col min="11" max="11" width="12.00390625" style="16" customWidth="1"/>
    <col min="12" max="12" width="14.140625" style="16" customWidth="1"/>
    <col min="13" max="16384" width="9.140625" style="16" customWidth="1"/>
  </cols>
  <sheetData>
    <row r="1" spans="4:15" ht="15">
      <c r="D1" s="31"/>
      <c r="E1" s="31"/>
      <c r="F1" s="31"/>
      <c r="G1" s="31"/>
      <c r="H1" s="31"/>
      <c r="I1" s="31"/>
      <c r="J1" s="31"/>
      <c r="K1" s="31"/>
      <c r="L1" s="49" t="s">
        <v>59</v>
      </c>
      <c r="M1" s="394"/>
      <c r="N1" s="44"/>
      <c r="O1" s="44"/>
    </row>
    <row r="2" spans="1:15" ht="15">
      <c r="A2" s="772" t="s">
        <v>0</v>
      </c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46"/>
      <c r="N2" s="46"/>
      <c r="O2" s="46"/>
    </row>
    <row r="3" spans="1:15" ht="20.25">
      <c r="A3" s="701" t="s">
        <v>878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45"/>
      <c r="N3" s="45"/>
      <c r="O3" s="45"/>
    </row>
    <row r="4" ht="10.5" customHeight="1"/>
    <row r="5" spans="1:12" ht="19.5" customHeight="1">
      <c r="A5" s="773" t="s">
        <v>895</v>
      </c>
      <c r="B5" s="773"/>
      <c r="C5" s="773"/>
      <c r="D5" s="773"/>
      <c r="E5" s="773"/>
      <c r="F5" s="773"/>
      <c r="G5" s="773"/>
      <c r="H5" s="773"/>
      <c r="I5" s="773"/>
      <c r="J5" s="773"/>
      <c r="K5" s="773"/>
      <c r="L5" s="773"/>
    </row>
    <row r="6" spans="1:12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2.75">
      <c r="A7" s="668" t="s">
        <v>472</v>
      </c>
      <c r="B7" s="668"/>
      <c r="F7" s="795" t="s">
        <v>17</v>
      </c>
      <c r="G7" s="795"/>
      <c r="H7" s="795"/>
      <c r="I7" s="795"/>
      <c r="J7" s="795"/>
      <c r="K7" s="795"/>
      <c r="L7" s="795"/>
    </row>
    <row r="8" spans="1:12" ht="12.75">
      <c r="A8" s="15"/>
      <c r="F8" s="17"/>
      <c r="G8" s="103"/>
      <c r="H8" s="103"/>
      <c r="I8" s="763" t="s">
        <v>929</v>
      </c>
      <c r="J8" s="763"/>
      <c r="K8" s="763"/>
      <c r="L8" s="763"/>
    </row>
    <row r="9" spans="1:18" s="282" customFormat="1" ht="12.75">
      <c r="A9" s="674" t="s">
        <v>492</v>
      </c>
      <c r="B9" s="674" t="s">
        <v>3</v>
      </c>
      <c r="C9" s="664" t="s">
        <v>18</v>
      </c>
      <c r="D9" s="775"/>
      <c r="E9" s="775"/>
      <c r="F9" s="775"/>
      <c r="G9" s="775"/>
      <c r="H9" s="664" t="s">
        <v>39</v>
      </c>
      <c r="I9" s="775"/>
      <c r="J9" s="775"/>
      <c r="K9" s="775"/>
      <c r="L9" s="775"/>
      <c r="Q9" s="158"/>
      <c r="R9" s="283"/>
    </row>
    <row r="10" spans="1:12" s="282" customFormat="1" ht="63.75">
      <c r="A10" s="674"/>
      <c r="B10" s="674"/>
      <c r="C10" s="257" t="s">
        <v>896</v>
      </c>
      <c r="D10" s="257" t="s">
        <v>935</v>
      </c>
      <c r="E10" s="257" t="s">
        <v>66</v>
      </c>
      <c r="F10" s="257" t="s">
        <v>67</v>
      </c>
      <c r="G10" s="257" t="s">
        <v>362</v>
      </c>
      <c r="H10" s="257" t="s">
        <v>896</v>
      </c>
      <c r="I10" s="257" t="s">
        <v>935</v>
      </c>
      <c r="J10" s="257" t="s">
        <v>66</v>
      </c>
      <c r="K10" s="257" t="s">
        <v>67</v>
      </c>
      <c r="L10" s="257" t="s">
        <v>363</v>
      </c>
    </row>
    <row r="11" spans="1:12" s="15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4" ht="12.75">
      <c r="A12" s="8">
        <v>1</v>
      </c>
      <c r="B12" s="19" t="s">
        <v>473</v>
      </c>
      <c r="C12" s="323">
        <f>5084.27*'enrolment vs availed_PY'!G11/266326</f>
        <v>964.9242925962919</v>
      </c>
      <c r="D12" s="323">
        <f>292.334*C12/5084.27</f>
        <v>55.4809595383102</v>
      </c>
      <c r="E12" s="323">
        <f>3159.71*C12/5084.27</f>
        <v>599.6693599197976</v>
      </c>
      <c r="F12" s="323">
        <f>'T5_PLAN_vs_PRFM'!H12*0.0001</f>
        <v>637.9820000000001</v>
      </c>
      <c r="G12" s="323">
        <f>(D12+E12)-F12</f>
        <v>17.168319458107703</v>
      </c>
      <c r="H12" s="405">
        <v>0</v>
      </c>
      <c r="I12" s="405">
        <v>0</v>
      </c>
      <c r="J12" s="405">
        <v>0</v>
      </c>
      <c r="K12" s="323">
        <v>0</v>
      </c>
      <c r="L12" s="323">
        <v>0</v>
      </c>
      <c r="N12" s="430"/>
    </row>
    <row r="13" spans="1:14" ht="12.75">
      <c r="A13" s="8">
        <v>2</v>
      </c>
      <c r="B13" s="19" t="s">
        <v>474</v>
      </c>
      <c r="C13" s="323">
        <f>5084.27*'enrolment vs availed_PY'!G12/266326</f>
        <v>652.7389734385678</v>
      </c>
      <c r="D13" s="323">
        <f aca="true" t="shared" si="0" ref="D13:D19">292.334*C13/5084.27</f>
        <v>37.53101134699578</v>
      </c>
      <c r="E13" s="323">
        <f aca="true" t="shared" si="1" ref="E13:E19">3159.71*C13/5084.27</f>
        <v>405.65624204921784</v>
      </c>
      <c r="F13" s="323">
        <f>'T5_PLAN_vs_PRFM'!H13*0.0001</f>
        <v>433.59630000000004</v>
      </c>
      <c r="G13" s="323">
        <f aca="true" t="shared" si="2" ref="G13:G19">(D13+E13)-F13</f>
        <v>9.590953396213592</v>
      </c>
      <c r="H13" s="405">
        <v>0</v>
      </c>
      <c r="I13" s="405">
        <v>0</v>
      </c>
      <c r="J13" s="405">
        <v>0</v>
      </c>
      <c r="K13" s="323">
        <v>0</v>
      </c>
      <c r="L13" s="323">
        <v>0</v>
      </c>
      <c r="N13" s="430"/>
    </row>
    <row r="14" spans="1:14" ht="12.75">
      <c r="A14" s="8">
        <v>3</v>
      </c>
      <c r="B14" s="19" t="s">
        <v>475</v>
      </c>
      <c r="C14" s="323">
        <f>5084.27*'enrolment vs availed_PY'!G13/266326</f>
        <v>398.5121101582272</v>
      </c>
      <c r="D14" s="323">
        <f t="shared" si="0"/>
        <v>22.913542988668024</v>
      </c>
      <c r="E14" s="323">
        <f t="shared" si="1"/>
        <v>247.66243720102432</v>
      </c>
      <c r="F14" s="323">
        <f>'T5_PLAN_vs_PRFM'!H14*0.0001</f>
        <v>266.6028</v>
      </c>
      <c r="G14" s="323">
        <f t="shared" si="2"/>
        <v>3.973180189692357</v>
      </c>
      <c r="H14" s="405">
        <v>0</v>
      </c>
      <c r="I14" s="405">
        <v>0</v>
      </c>
      <c r="J14" s="405">
        <v>0</v>
      </c>
      <c r="K14" s="323">
        <v>0</v>
      </c>
      <c r="L14" s="323">
        <v>0</v>
      </c>
      <c r="N14" s="430"/>
    </row>
    <row r="15" spans="1:14" ht="12.75">
      <c r="A15" s="8">
        <v>4</v>
      </c>
      <c r="B15" s="19" t="s">
        <v>476</v>
      </c>
      <c r="C15" s="323">
        <f>5084.27*'enrolment vs availed_PY'!G14/266326</f>
        <v>576.033744283322</v>
      </c>
      <c r="D15" s="323">
        <f t="shared" si="0"/>
        <v>33.12063454563205</v>
      </c>
      <c r="E15" s="323">
        <f t="shared" si="1"/>
        <v>357.9864134181417</v>
      </c>
      <c r="F15" s="323">
        <f>'T5_PLAN_vs_PRFM'!H15*0.0001</f>
        <v>385.12010000000004</v>
      </c>
      <c r="G15" s="323">
        <f t="shared" si="2"/>
        <v>5.98694796377373</v>
      </c>
      <c r="H15" s="405">
        <v>0</v>
      </c>
      <c r="I15" s="405">
        <v>0</v>
      </c>
      <c r="J15" s="405">
        <v>0</v>
      </c>
      <c r="K15" s="323">
        <v>0</v>
      </c>
      <c r="L15" s="323">
        <v>0</v>
      </c>
      <c r="N15" s="430"/>
    </row>
    <row r="16" spans="1:14" ht="12.75">
      <c r="A16" s="8">
        <v>5</v>
      </c>
      <c r="B16" s="19" t="s">
        <v>477</v>
      </c>
      <c r="C16" s="323">
        <f>5084.27*'enrolment vs availed_PY'!G15/266326</f>
        <v>588.3279621967064</v>
      </c>
      <c r="D16" s="323">
        <f t="shared" si="0"/>
        <v>33.82752420717467</v>
      </c>
      <c r="E16" s="323">
        <f t="shared" si="1"/>
        <v>365.62687375622363</v>
      </c>
      <c r="F16" s="323">
        <f>'T5_PLAN_vs_PRFM'!H16*0.0001</f>
        <v>394.7045</v>
      </c>
      <c r="G16" s="323">
        <f t="shared" si="2"/>
        <v>4.749897963398325</v>
      </c>
      <c r="H16" s="405">
        <v>0</v>
      </c>
      <c r="I16" s="405">
        <v>0</v>
      </c>
      <c r="J16" s="405">
        <v>0</v>
      </c>
      <c r="K16" s="323">
        <v>0</v>
      </c>
      <c r="L16" s="323">
        <v>0</v>
      </c>
      <c r="N16" s="430"/>
    </row>
    <row r="17" spans="1:14" ht="12.75">
      <c r="A17" s="8">
        <v>6</v>
      </c>
      <c r="B17" s="19" t="s">
        <v>478</v>
      </c>
      <c r="C17" s="323">
        <f>5084.27*'enrolment vs availed_PY'!G16/266326</f>
        <v>459.8686573222292</v>
      </c>
      <c r="D17" s="323">
        <f t="shared" si="0"/>
        <v>26.441405367857435</v>
      </c>
      <c r="E17" s="323">
        <f t="shared" si="1"/>
        <v>285.7935544783461</v>
      </c>
      <c r="F17" s="323">
        <f>'T5_PLAN_vs_PRFM'!H17*0.0001</f>
        <v>304.647</v>
      </c>
      <c r="G17" s="323">
        <f t="shared" si="2"/>
        <v>7.587959846203546</v>
      </c>
      <c r="H17" s="405">
        <v>0</v>
      </c>
      <c r="I17" s="405">
        <v>0</v>
      </c>
      <c r="J17" s="405">
        <v>0</v>
      </c>
      <c r="K17" s="323">
        <v>0</v>
      </c>
      <c r="L17" s="323">
        <v>0</v>
      </c>
      <c r="N17" s="430"/>
    </row>
    <row r="18" spans="1:15" ht="12.75">
      <c r="A18" s="8">
        <v>7</v>
      </c>
      <c r="B18" s="19" t="s">
        <v>479</v>
      </c>
      <c r="C18" s="323">
        <f>5084.27*'enrolment vs availed_PY'!G17/266326</f>
        <v>748.8400494882212</v>
      </c>
      <c r="D18" s="323">
        <f t="shared" si="0"/>
        <v>43.05660537837086</v>
      </c>
      <c r="E18" s="323">
        <f t="shared" si="1"/>
        <v>465.37996462981454</v>
      </c>
      <c r="F18" s="323">
        <f>'T5_PLAN_vs_PRFM'!H18*0.0001</f>
        <v>500.80120000000005</v>
      </c>
      <c r="G18" s="323">
        <f t="shared" si="2"/>
        <v>7.635370008185362</v>
      </c>
      <c r="H18" s="405">
        <v>0</v>
      </c>
      <c r="I18" s="405">
        <v>0</v>
      </c>
      <c r="J18" s="405">
        <v>0</v>
      </c>
      <c r="K18" s="323">
        <v>0</v>
      </c>
      <c r="L18" s="323">
        <v>0</v>
      </c>
      <c r="N18" s="430"/>
      <c r="O18" s="16" t="s">
        <v>11</v>
      </c>
    </row>
    <row r="19" spans="1:14" ht="12.75">
      <c r="A19" s="8">
        <v>8</v>
      </c>
      <c r="B19" s="19" t="s">
        <v>480</v>
      </c>
      <c r="C19" s="323">
        <f>5084.27*'enrolment vs availed_PY'!G18/266326</f>
        <v>695.0242105164348</v>
      </c>
      <c r="D19" s="323">
        <f t="shared" si="0"/>
        <v>39.96231662699098</v>
      </c>
      <c r="E19" s="323">
        <f t="shared" si="1"/>
        <v>431.93515454743437</v>
      </c>
      <c r="F19" s="323">
        <f>'T5_PLAN_vs_PRFM'!H19*0.0001</f>
        <v>466.2941</v>
      </c>
      <c r="G19" s="323">
        <f t="shared" si="2"/>
        <v>5.60337117442532</v>
      </c>
      <c r="H19" s="405">
        <v>0</v>
      </c>
      <c r="I19" s="405">
        <v>0</v>
      </c>
      <c r="J19" s="405">
        <v>0</v>
      </c>
      <c r="K19" s="323">
        <v>0</v>
      </c>
      <c r="L19" s="323">
        <v>0</v>
      </c>
      <c r="N19" s="430"/>
    </row>
    <row r="20" spans="1:17" ht="12.75">
      <c r="A20" s="3"/>
      <c r="B20" s="27" t="s">
        <v>481</v>
      </c>
      <c r="C20" s="323">
        <f>SUM(C12:C19)</f>
        <v>5084.27</v>
      </c>
      <c r="D20" s="323">
        <f aca="true" t="shared" si="3" ref="D20:L20">SUM(D12:D19)</f>
        <v>292.334</v>
      </c>
      <c r="E20" s="323">
        <f t="shared" si="3"/>
        <v>3159.71</v>
      </c>
      <c r="F20" s="323">
        <f t="shared" si="3"/>
        <v>3389.748</v>
      </c>
      <c r="G20" s="323">
        <f t="shared" si="3"/>
        <v>62.295999999999935</v>
      </c>
      <c r="H20" s="323">
        <f t="shared" si="3"/>
        <v>0</v>
      </c>
      <c r="I20" s="323">
        <f t="shared" si="3"/>
        <v>0</v>
      </c>
      <c r="J20" s="323">
        <f t="shared" si="3"/>
        <v>0</v>
      </c>
      <c r="K20" s="323">
        <f t="shared" si="3"/>
        <v>0</v>
      </c>
      <c r="L20" s="323">
        <f t="shared" si="3"/>
        <v>0</v>
      </c>
      <c r="N20" s="430"/>
      <c r="O20" s="431"/>
      <c r="P20" s="431"/>
      <c r="Q20" s="431"/>
    </row>
    <row r="21" spans="1:12" ht="12.75">
      <c r="A21" s="21"/>
      <c r="B21" s="21"/>
      <c r="C21" s="649">
        <f>C20+'T6A_FG_Upy_Utlsn '!C20</f>
        <v>9746.6</v>
      </c>
      <c r="D21" s="21"/>
      <c r="E21" s="21"/>
      <c r="F21" s="649">
        <f>F20+'T6A_FG_Upy_Utlsn '!F20</f>
        <v>6393.93555</v>
      </c>
      <c r="G21" s="21"/>
      <c r="H21" s="21"/>
      <c r="I21" s="21"/>
      <c r="J21" s="21"/>
      <c r="K21" s="21"/>
      <c r="L21" s="21"/>
    </row>
    <row r="22" spans="1:12" ht="12.75">
      <c r="A22" s="20" t="s">
        <v>364</v>
      </c>
      <c r="B22" s="21"/>
      <c r="C22" s="21"/>
      <c r="D22" s="21"/>
      <c r="E22" s="21"/>
      <c r="F22" s="21"/>
      <c r="G22" s="21"/>
      <c r="H22" s="21"/>
      <c r="I22" s="21"/>
      <c r="J22" s="21"/>
      <c r="K22" s="21" t="s">
        <v>11</v>
      </c>
      <c r="L22" s="21"/>
    </row>
    <row r="23" spans="1:12" ht="15.75" customHeight="1">
      <c r="A23" s="449"/>
      <c r="B23" s="794"/>
      <c r="C23" s="794"/>
      <c r="D23" s="794"/>
      <c r="E23" s="794"/>
      <c r="F23" s="794"/>
      <c r="G23" s="794"/>
      <c r="H23" s="794"/>
      <c r="I23" s="794"/>
      <c r="J23" s="794"/>
      <c r="K23" s="15" t="s">
        <v>11</v>
      </c>
      <c r="L23" s="15" t="s">
        <v>11</v>
      </c>
    </row>
    <row r="24" spans="1:12" ht="15.75" customHeight="1">
      <c r="A24" s="449"/>
      <c r="B24" s="486"/>
      <c r="C24" s="488"/>
      <c r="D24" s="488"/>
      <c r="E24" s="488"/>
      <c r="F24" s="486"/>
      <c r="G24" s="486">
        <f>F21/C21</f>
        <v>0.6560170264502493</v>
      </c>
      <c r="H24" s="486"/>
      <c r="I24" s="471"/>
      <c r="J24" s="471"/>
      <c r="K24" s="15"/>
      <c r="L24" s="15"/>
    </row>
    <row r="25" spans="3:12" ht="12.75">
      <c r="C25" s="488"/>
      <c r="D25" s="488"/>
      <c r="E25" s="488"/>
      <c r="I25" s="86" t="s">
        <v>11</v>
      </c>
      <c r="J25" s="699"/>
      <c r="K25" s="699"/>
      <c r="L25" s="699"/>
    </row>
    <row r="26" spans="2:12" ht="12.75" customHeight="1">
      <c r="B26" s="86"/>
      <c r="C26" s="488"/>
      <c r="D26" s="488"/>
      <c r="E26" s="488"/>
      <c r="F26" s="86"/>
      <c r="G26" s="86"/>
      <c r="H26" s="86"/>
      <c r="I26" s="86"/>
      <c r="J26" s="777" t="s">
        <v>1062</v>
      </c>
      <c r="K26" s="777"/>
      <c r="L26" s="777"/>
    </row>
    <row r="27" spans="2:12" ht="12.75" customHeight="1">
      <c r="B27" s="86"/>
      <c r="C27" s="488"/>
      <c r="D27" s="488"/>
      <c r="E27" s="488"/>
      <c r="F27" s="86"/>
      <c r="G27" s="86"/>
      <c r="H27" s="86"/>
      <c r="I27" s="86"/>
      <c r="J27" s="699" t="s">
        <v>485</v>
      </c>
      <c r="K27" s="699"/>
      <c r="L27" s="699"/>
    </row>
    <row r="28" spans="1:12" ht="12.75">
      <c r="A28" s="15" t="s">
        <v>19</v>
      </c>
      <c r="B28" s="15"/>
      <c r="C28" s="488"/>
      <c r="D28" s="488"/>
      <c r="E28" s="488"/>
      <c r="F28" s="15"/>
      <c r="J28" s="668" t="s">
        <v>80</v>
      </c>
      <c r="K28" s="668"/>
      <c r="L28" s="668"/>
    </row>
    <row r="29" spans="1:5" ht="12.75">
      <c r="A29" s="15"/>
      <c r="C29" s="488"/>
      <c r="D29" s="488"/>
      <c r="E29" s="488"/>
    </row>
    <row r="30" spans="1:12" ht="12.75">
      <c r="A30" s="447"/>
      <c r="B30" s="447"/>
      <c r="C30" s="488"/>
      <c r="D30" s="488"/>
      <c r="E30" s="488"/>
      <c r="F30" s="447"/>
      <c r="G30" s="447"/>
      <c r="H30" s="447"/>
      <c r="I30" s="447"/>
      <c r="J30" s="447"/>
      <c r="K30" s="447"/>
      <c r="L30" s="447"/>
    </row>
    <row r="31" spans="3:5" ht="12.75">
      <c r="C31" s="488"/>
      <c r="D31" s="488"/>
      <c r="E31" s="488"/>
    </row>
    <row r="32" spans="3:5" ht="12.75">
      <c r="C32" s="488"/>
      <c r="D32" s="488"/>
      <c r="E32" s="488"/>
    </row>
    <row r="33" ht="12.75">
      <c r="C33" s="487"/>
    </row>
  </sheetData>
  <sheetProtection/>
  <mergeCells count="15">
    <mergeCell ref="A9:A10"/>
    <mergeCell ref="B9:B10"/>
    <mergeCell ref="A3:L3"/>
    <mergeCell ref="A2:L2"/>
    <mergeCell ref="A5:L5"/>
    <mergeCell ref="A7:B7"/>
    <mergeCell ref="F7:L7"/>
    <mergeCell ref="J28:L28"/>
    <mergeCell ref="C9:G9"/>
    <mergeCell ref="H9:L9"/>
    <mergeCell ref="I8:L8"/>
    <mergeCell ref="B23:J23"/>
    <mergeCell ref="J25:L25"/>
    <mergeCell ref="J26:L26"/>
    <mergeCell ref="J27:L27"/>
  </mergeCells>
  <printOptions horizontalCentered="1"/>
  <pageMargins left="0.7086614173228347" right="0.21" top="1.3" bottom="0" header="0.8" footer="0.31496062992125984"/>
  <pageSetup fitToHeight="1" fitToWidth="1" horizontalDpi="600" verticalDpi="600" orientation="landscape" paperSize="9" r:id="rId1"/>
  <rowBreaks count="1" manualBreakCount="1">
    <brk id="29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view="pageBreakPreview" zoomScaleSheetLayoutView="100" zoomScalePageLayoutView="0" workbookViewId="0" topLeftCell="A4">
      <selection activeCell="J27" sqref="J27:L27"/>
    </sheetView>
  </sheetViews>
  <sheetFormatPr defaultColWidth="9.140625" defaultRowHeight="12.75"/>
  <cols>
    <col min="1" max="1" width="4.8515625" style="16" customWidth="1"/>
    <col min="2" max="2" width="12.00390625" style="16" customWidth="1"/>
    <col min="3" max="3" width="10.57421875" style="16" customWidth="1"/>
    <col min="4" max="4" width="11.140625" style="16" customWidth="1"/>
    <col min="5" max="5" width="8.7109375" style="16" customWidth="1"/>
    <col min="6" max="6" width="10.8515625" style="16" customWidth="1"/>
    <col min="7" max="7" width="15.8515625" style="16" customWidth="1"/>
    <col min="8" max="8" width="12.421875" style="16" customWidth="1"/>
    <col min="9" max="9" width="12.140625" style="16" customWidth="1"/>
    <col min="10" max="10" width="9.00390625" style="16" customWidth="1"/>
    <col min="11" max="11" width="12.00390625" style="16" customWidth="1"/>
    <col min="12" max="12" width="13.7109375" style="16" customWidth="1"/>
    <col min="13" max="13" width="9.140625" style="16" hidden="1" customWidth="1"/>
    <col min="14" max="16384" width="9.140625" style="16" customWidth="1"/>
  </cols>
  <sheetData>
    <row r="1" spans="4:16" ht="15">
      <c r="D1" s="31"/>
      <c r="E1" s="31"/>
      <c r="F1" s="31"/>
      <c r="G1" s="31"/>
      <c r="H1" s="31"/>
      <c r="I1" s="31"/>
      <c r="J1" s="31"/>
      <c r="K1" s="31"/>
      <c r="L1" s="796" t="s">
        <v>68</v>
      </c>
      <c r="M1" s="796"/>
      <c r="N1" s="796"/>
      <c r="O1" s="44"/>
      <c r="P1" s="44"/>
    </row>
    <row r="2" spans="1:16" ht="15">
      <c r="A2" s="772" t="s">
        <v>0</v>
      </c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46"/>
      <c r="N2" s="46"/>
      <c r="O2" s="46"/>
      <c r="P2" s="46"/>
    </row>
    <row r="3" spans="1:16" ht="20.25">
      <c r="A3" s="797" t="s">
        <v>878</v>
      </c>
      <c r="B3" s="797"/>
      <c r="C3" s="797"/>
      <c r="D3" s="797"/>
      <c r="E3" s="797"/>
      <c r="F3" s="797"/>
      <c r="G3" s="797"/>
      <c r="H3" s="797"/>
      <c r="I3" s="797"/>
      <c r="J3" s="797"/>
      <c r="K3" s="797"/>
      <c r="L3" s="797"/>
      <c r="M3" s="45"/>
      <c r="N3" s="45"/>
      <c r="O3" s="45"/>
      <c r="P3" s="45"/>
    </row>
    <row r="4" ht="10.5" customHeight="1"/>
    <row r="5" spans="1:12" ht="19.5" customHeight="1">
      <c r="A5" s="773" t="s">
        <v>897</v>
      </c>
      <c r="B5" s="773"/>
      <c r="C5" s="773"/>
      <c r="D5" s="773"/>
      <c r="E5" s="773"/>
      <c r="F5" s="773"/>
      <c r="G5" s="773"/>
      <c r="H5" s="773"/>
      <c r="I5" s="773"/>
      <c r="J5" s="773"/>
      <c r="K5" s="773"/>
      <c r="L5" s="773"/>
    </row>
    <row r="6" spans="1:12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2.75">
      <c r="A7" s="668" t="s">
        <v>472</v>
      </c>
      <c r="B7" s="668"/>
      <c r="F7" s="795" t="s">
        <v>17</v>
      </c>
      <c r="G7" s="795"/>
      <c r="H7" s="795"/>
      <c r="I7" s="795"/>
      <c r="J7" s="795"/>
      <c r="K7" s="795"/>
      <c r="L7" s="795"/>
    </row>
    <row r="8" spans="1:12" ht="12.75">
      <c r="A8" s="15"/>
      <c r="F8" s="17"/>
      <c r="G8" s="103"/>
      <c r="H8" s="103"/>
      <c r="I8" s="763" t="s">
        <v>929</v>
      </c>
      <c r="J8" s="763"/>
      <c r="K8" s="763"/>
      <c r="L8" s="763"/>
    </row>
    <row r="9" spans="1:19" s="282" customFormat="1" ht="12.75">
      <c r="A9" s="674" t="s">
        <v>488</v>
      </c>
      <c r="B9" s="674" t="s">
        <v>3</v>
      </c>
      <c r="C9" s="664" t="s">
        <v>18</v>
      </c>
      <c r="D9" s="775"/>
      <c r="E9" s="775"/>
      <c r="F9" s="775"/>
      <c r="G9" s="775"/>
      <c r="H9" s="664" t="s">
        <v>39</v>
      </c>
      <c r="I9" s="775"/>
      <c r="J9" s="775"/>
      <c r="K9" s="775"/>
      <c r="L9" s="775"/>
      <c r="R9" s="158"/>
      <c r="S9" s="283"/>
    </row>
    <row r="10" spans="1:12" s="282" customFormat="1" ht="63.75">
      <c r="A10" s="674"/>
      <c r="B10" s="674"/>
      <c r="C10" s="257" t="s">
        <v>896</v>
      </c>
      <c r="D10" s="257" t="s">
        <v>935</v>
      </c>
      <c r="E10" s="257" t="s">
        <v>66</v>
      </c>
      <c r="F10" s="257" t="s">
        <v>67</v>
      </c>
      <c r="G10" s="257" t="s">
        <v>366</v>
      </c>
      <c r="H10" s="257" t="s">
        <v>896</v>
      </c>
      <c r="I10" s="257" t="s">
        <v>935</v>
      </c>
      <c r="J10" s="257" t="s">
        <v>66</v>
      </c>
      <c r="K10" s="257" t="s">
        <v>67</v>
      </c>
      <c r="L10" s="257" t="s">
        <v>367</v>
      </c>
    </row>
    <row r="11" spans="1:12" s="15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4" ht="12.75">
      <c r="A12" s="8">
        <v>1</v>
      </c>
      <c r="B12" s="19" t="s">
        <v>473</v>
      </c>
      <c r="C12" s="323">
        <f>4662.33*'enrolment vs availed_UPY'!G11/165953</f>
        <v>922.026165661362</v>
      </c>
      <c r="D12" s="323">
        <f>261.028*C12/4662.33</f>
        <v>51.62110918151526</v>
      </c>
      <c r="E12" s="323">
        <f>3012.77*C12/4662.33</f>
        <v>595.8078409549692</v>
      </c>
      <c r="F12" s="323">
        <f>'T5A_PLAN_vs_PRFM '!H12*0.00015</f>
        <v>588.9943499999999</v>
      </c>
      <c r="G12" s="323">
        <f>(D12+E12)-F12</f>
        <v>58.434600136484505</v>
      </c>
      <c r="H12" s="405">
        <v>0</v>
      </c>
      <c r="I12" s="405">
        <v>0</v>
      </c>
      <c r="J12" s="405">
        <v>0</v>
      </c>
      <c r="K12" s="323">
        <v>0</v>
      </c>
      <c r="L12" s="323">
        <v>0</v>
      </c>
      <c r="N12" s="430"/>
    </row>
    <row r="13" spans="1:14" ht="12.75">
      <c r="A13" s="8">
        <v>2</v>
      </c>
      <c r="B13" s="19" t="s">
        <v>474</v>
      </c>
      <c r="C13" s="323">
        <f>4662.33*'enrolment vs availed_UPY'!G12/165953</f>
        <v>626.5586259965171</v>
      </c>
      <c r="D13" s="323">
        <f aca="true" t="shared" si="0" ref="D13:D19">261.028*C13/4662.33</f>
        <v>35.07888652811339</v>
      </c>
      <c r="E13" s="323">
        <f aca="true" t="shared" si="1" ref="E13:E19">3012.77*C13/4662.33</f>
        <v>404.8784688435883</v>
      </c>
      <c r="F13" s="323">
        <f>'T5A_PLAN_vs_PRFM '!H13*0.00015</f>
        <v>405.21284999999995</v>
      </c>
      <c r="G13" s="323">
        <f aca="true" t="shared" si="2" ref="G13:G19">(D13+E13)-F13</f>
        <v>34.744505371701734</v>
      </c>
      <c r="H13" s="405">
        <v>0</v>
      </c>
      <c r="I13" s="405">
        <v>0</v>
      </c>
      <c r="J13" s="405">
        <v>0</v>
      </c>
      <c r="K13" s="323">
        <v>0</v>
      </c>
      <c r="L13" s="323">
        <v>0</v>
      </c>
      <c r="N13" s="430"/>
    </row>
    <row r="14" spans="1:14" ht="12.75">
      <c r="A14" s="8">
        <v>3</v>
      </c>
      <c r="B14" s="19" t="s">
        <v>475</v>
      </c>
      <c r="C14" s="323">
        <f>4662.33*'enrolment vs availed_UPY'!G13/165953</f>
        <v>386.07159171572675</v>
      </c>
      <c r="D14" s="323">
        <f t="shared" si="0"/>
        <v>21.61483538110188</v>
      </c>
      <c r="E14" s="323">
        <f t="shared" si="1"/>
        <v>249.4771732960537</v>
      </c>
      <c r="F14" s="323">
        <f>'T5A_PLAN_vs_PRFM '!H14*0.00015</f>
        <v>249.42119999999997</v>
      </c>
      <c r="G14" s="323">
        <f t="shared" si="2"/>
        <v>21.670808677155634</v>
      </c>
      <c r="H14" s="405">
        <v>0</v>
      </c>
      <c r="I14" s="405">
        <v>0</v>
      </c>
      <c r="J14" s="405">
        <v>0</v>
      </c>
      <c r="K14" s="323">
        <v>0</v>
      </c>
      <c r="L14" s="323">
        <v>0</v>
      </c>
      <c r="N14" s="430"/>
    </row>
    <row r="15" spans="1:14" ht="12.75">
      <c r="A15" s="8">
        <v>4</v>
      </c>
      <c r="B15" s="19" t="s">
        <v>476</v>
      </c>
      <c r="C15" s="323">
        <f>4662.33*'enrolment vs availed_UPY'!G14/165953</f>
        <v>549.6926767217225</v>
      </c>
      <c r="D15" s="323">
        <f t="shared" si="0"/>
        <v>30.77542345121812</v>
      </c>
      <c r="E15" s="323">
        <f t="shared" si="1"/>
        <v>355.208148210638</v>
      </c>
      <c r="F15" s="323">
        <f>'T5A_PLAN_vs_PRFM '!H15*0.00015</f>
        <v>354.8601</v>
      </c>
      <c r="G15" s="323">
        <f t="shared" si="2"/>
        <v>31.123471661856115</v>
      </c>
      <c r="H15" s="405">
        <v>0</v>
      </c>
      <c r="I15" s="405">
        <v>0</v>
      </c>
      <c r="J15" s="405">
        <v>0</v>
      </c>
      <c r="K15" s="323">
        <v>0</v>
      </c>
      <c r="L15" s="323">
        <v>0</v>
      </c>
      <c r="N15" s="431"/>
    </row>
    <row r="16" spans="1:14" ht="12.75">
      <c r="A16" s="8">
        <v>5</v>
      </c>
      <c r="B16" s="19" t="s">
        <v>477</v>
      </c>
      <c r="C16" s="323">
        <f>4662.33*'enrolment vs availed_UPY'!G15/165953</f>
        <v>607.6511757545811</v>
      </c>
      <c r="D16" s="323">
        <f t="shared" si="0"/>
        <v>34.02032269377475</v>
      </c>
      <c r="E16" s="323">
        <f t="shared" si="1"/>
        <v>392.6605866118721</v>
      </c>
      <c r="F16" s="323">
        <f>'T5A_PLAN_vs_PRFM '!H16*0.00015</f>
        <v>392.36504999999994</v>
      </c>
      <c r="G16" s="323">
        <f t="shared" si="2"/>
        <v>34.31585930564688</v>
      </c>
      <c r="H16" s="405">
        <v>0</v>
      </c>
      <c r="I16" s="405">
        <v>0</v>
      </c>
      <c r="J16" s="405">
        <v>0</v>
      </c>
      <c r="K16" s="323">
        <v>0</v>
      </c>
      <c r="L16" s="323">
        <v>0</v>
      </c>
      <c r="N16" s="431"/>
    </row>
    <row r="17" spans="1:14" ht="12.75">
      <c r="A17" s="8">
        <v>6</v>
      </c>
      <c r="B17" s="19" t="s">
        <v>478</v>
      </c>
      <c r="C17" s="323">
        <f>4662.33*'enrolment vs availed_UPY'!G16/165953</f>
        <v>426.8644858484028</v>
      </c>
      <c r="D17" s="323">
        <f t="shared" si="0"/>
        <v>23.898690785945416</v>
      </c>
      <c r="E17" s="323">
        <f t="shared" si="1"/>
        <v>275.8372995968738</v>
      </c>
      <c r="F17" s="323">
        <f>'T5A_PLAN_vs_PRFM '!H17*0.00015</f>
        <v>274.89945</v>
      </c>
      <c r="G17" s="323">
        <f t="shared" si="2"/>
        <v>24.83654038281918</v>
      </c>
      <c r="H17" s="405">
        <v>0</v>
      </c>
      <c r="I17" s="405">
        <v>0</v>
      </c>
      <c r="J17" s="405">
        <v>0</v>
      </c>
      <c r="K17" s="323">
        <v>0</v>
      </c>
      <c r="L17" s="323">
        <v>0</v>
      </c>
      <c r="N17" s="431"/>
    </row>
    <row r="18" spans="1:14" ht="12.75">
      <c r="A18" s="8">
        <v>7</v>
      </c>
      <c r="B18" s="19" t="s">
        <v>479</v>
      </c>
      <c r="C18" s="323">
        <f>4662.33*'enrolment vs availed_UPY'!G17/165953</f>
        <v>593.8287901393768</v>
      </c>
      <c r="D18" s="323">
        <f t="shared" si="0"/>
        <v>33.24645433345586</v>
      </c>
      <c r="E18" s="323">
        <f t="shared" si="1"/>
        <v>383.7286429892801</v>
      </c>
      <c r="F18" s="323">
        <f>'T5A_PLAN_vs_PRFM '!H18*0.00015</f>
        <v>383.0673</v>
      </c>
      <c r="G18" s="323">
        <f t="shared" si="2"/>
        <v>33.90779732273597</v>
      </c>
      <c r="H18" s="405">
        <v>0</v>
      </c>
      <c r="I18" s="405">
        <v>0</v>
      </c>
      <c r="J18" s="405">
        <v>0</v>
      </c>
      <c r="K18" s="323">
        <v>0</v>
      </c>
      <c r="L18" s="323">
        <v>0</v>
      </c>
      <c r="N18" s="431"/>
    </row>
    <row r="19" spans="1:14" ht="12.75">
      <c r="A19" s="8">
        <v>8</v>
      </c>
      <c r="B19" s="19" t="s">
        <v>480</v>
      </c>
      <c r="C19" s="323">
        <f>4662.33*'enrolment vs availed_UPY'!G18/165953</f>
        <v>549.636488162311</v>
      </c>
      <c r="D19" s="323">
        <f t="shared" si="0"/>
        <v>30.772277644875356</v>
      </c>
      <c r="E19" s="323">
        <f t="shared" si="1"/>
        <v>355.171839496725</v>
      </c>
      <c r="F19" s="323">
        <f>'T5A_PLAN_vs_PRFM '!H19*0.00015</f>
        <v>355.36724999999996</v>
      </c>
      <c r="G19" s="323">
        <f t="shared" si="2"/>
        <v>30.576867141600417</v>
      </c>
      <c r="H19" s="405">
        <v>0</v>
      </c>
      <c r="I19" s="405">
        <v>0</v>
      </c>
      <c r="J19" s="405">
        <v>0</v>
      </c>
      <c r="K19" s="323">
        <v>0</v>
      </c>
      <c r="L19" s="323">
        <v>0</v>
      </c>
      <c r="N19" s="431"/>
    </row>
    <row r="20" spans="1:17" ht="12.75">
      <c r="A20" s="3"/>
      <c r="B20" s="27" t="s">
        <v>481</v>
      </c>
      <c r="C20" s="323">
        <f aca="true" t="shared" si="3" ref="C20:L20">SUM(C12:C19)</f>
        <v>4662.33</v>
      </c>
      <c r="D20" s="323">
        <f t="shared" si="3"/>
        <v>261.028</v>
      </c>
      <c r="E20" s="323">
        <f t="shared" si="3"/>
        <v>3012.7700000000004</v>
      </c>
      <c r="F20" s="323">
        <f t="shared" si="3"/>
        <v>3004.1875499999996</v>
      </c>
      <c r="G20" s="323">
        <f t="shared" si="3"/>
        <v>269.61045000000047</v>
      </c>
      <c r="H20" s="323">
        <f t="shared" si="3"/>
        <v>0</v>
      </c>
      <c r="I20" s="323">
        <f t="shared" si="3"/>
        <v>0</v>
      </c>
      <c r="J20" s="323">
        <f t="shared" si="3"/>
        <v>0</v>
      </c>
      <c r="K20" s="323">
        <f t="shared" si="3"/>
        <v>0</v>
      </c>
      <c r="L20" s="323">
        <f t="shared" si="3"/>
        <v>0</v>
      </c>
      <c r="N20" s="338"/>
      <c r="O20" s="16" t="s">
        <v>11</v>
      </c>
      <c r="P20" s="431"/>
      <c r="Q20" s="431"/>
    </row>
    <row r="21" spans="1:12" ht="12.75">
      <c r="A21" s="12"/>
      <c r="B21" s="28"/>
      <c r="C21" s="21"/>
      <c r="D21" s="21"/>
      <c r="E21" s="21"/>
      <c r="F21" s="21"/>
      <c r="G21" s="21"/>
      <c r="H21" s="21"/>
      <c r="I21" s="21"/>
      <c r="J21" s="21"/>
      <c r="K21" s="21"/>
      <c r="L21" s="21" t="s">
        <v>11</v>
      </c>
    </row>
    <row r="22" spans="1:12" ht="12.75">
      <c r="A22" s="20" t="s">
        <v>364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ht="15.75" customHeight="1">
      <c r="A23" s="15"/>
      <c r="B23" s="798"/>
      <c r="C23" s="798"/>
      <c r="D23" s="798"/>
      <c r="E23" s="798"/>
      <c r="F23" s="798"/>
      <c r="G23" s="798"/>
      <c r="H23" s="798"/>
      <c r="I23" s="798"/>
      <c r="J23" s="798"/>
      <c r="K23" s="15"/>
      <c r="L23" s="15"/>
    </row>
    <row r="24" spans="1:12" ht="12.75">
      <c r="A24" s="15"/>
      <c r="B24" s="484"/>
      <c r="C24" s="485"/>
      <c r="D24" s="485"/>
      <c r="E24" s="485"/>
      <c r="F24" s="484"/>
      <c r="G24" s="484"/>
      <c r="H24" s="484"/>
      <c r="I24" s="15"/>
      <c r="J24" s="15"/>
      <c r="K24" s="15"/>
      <c r="L24" s="15"/>
    </row>
    <row r="25" spans="1:12" ht="12.75">
      <c r="A25" s="337"/>
      <c r="B25" s="483"/>
      <c r="C25" s="485"/>
      <c r="D25" s="485"/>
      <c r="E25" s="485"/>
      <c r="F25" s="483"/>
      <c r="G25" s="483"/>
      <c r="H25" s="483"/>
      <c r="I25" s="483"/>
      <c r="J25" s="777"/>
      <c r="K25" s="777"/>
      <c r="L25" s="777"/>
    </row>
    <row r="26" spans="2:12" ht="12.75" customHeight="1">
      <c r="B26" s="86"/>
      <c r="C26" s="485"/>
      <c r="D26" s="485"/>
      <c r="E26" s="485"/>
      <c r="F26" s="86"/>
      <c r="G26" s="86"/>
      <c r="H26" s="86"/>
      <c r="I26" s="86"/>
      <c r="J26" s="777" t="s">
        <v>1062</v>
      </c>
      <c r="K26" s="777"/>
      <c r="L26" s="777"/>
    </row>
    <row r="27" spans="2:12" ht="12.75" customHeight="1">
      <c r="B27" s="86"/>
      <c r="C27" s="485"/>
      <c r="D27" s="485"/>
      <c r="E27" s="485"/>
      <c r="F27" s="86"/>
      <c r="G27" s="86"/>
      <c r="H27" s="86"/>
      <c r="I27" s="86"/>
      <c r="J27" s="777" t="s">
        <v>485</v>
      </c>
      <c r="K27" s="777"/>
      <c r="L27" s="777"/>
    </row>
    <row r="28" spans="1:12" ht="12.75">
      <c r="A28" s="15" t="s">
        <v>19</v>
      </c>
      <c r="B28" s="15"/>
      <c r="C28" s="485"/>
      <c r="D28" s="485"/>
      <c r="E28" s="485"/>
      <c r="F28" s="15"/>
      <c r="J28" s="668" t="s">
        <v>80</v>
      </c>
      <c r="K28" s="668"/>
      <c r="L28" s="668"/>
    </row>
    <row r="29" spans="1:5" ht="12.75">
      <c r="A29" s="15"/>
      <c r="C29" s="485"/>
      <c r="D29" s="485"/>
      <c r="E29" s="485"/>
    </row>
    <row r="30" spans="1:12" ht="12.75">
      <c r="A30" s="447"/>
      <c r="B30" s="447"/>
      <c r="C30" s="485"/>
      <c r="D30" s="485"/>
      <c r="E30" s="485"/>
      <c r="F30" s="447"/>
      <c r="G30" s="447"/>
      <c r="H30" s="447"/>
      <c r="I30" s="447"/>
      <c r="J30" s="447"/>
      <c r="K30" s="447"/>
      <c r="L30" s="447"/>
    </row>
    <row r="31" spans="3:5" ht="12.75">
      <c r="C31" s="485"/>
      <c r="D31" s="485"/>
      <c r="E31" s="485"/>
    </row>
    <row r="32" spans="3:5" ht="12.75">
      <c r="C32" s="338"/>
      <c r="D32" s="485"/>
      <c r="E32" s="485"/>
    </row>
  </sheetData>
  <sheetProtection/>
  <mergeCells count="16">
    <mergeCell ref="J26:L26"/>
    <mergeCell ref="J27:L27"/>
    <mergeCell ref="J28:L28"/>
    <mergeCell ref="J25:L25"/>
    <mergeCell ref="F7:L7"/>
    <mergeCell ref="B23:J23"/>
    <mergeCell ref="L1:N1"/>
    <mergeCell ref="A2:L2"/>
    <mergeCell ref="A3:L3"/>
    <mergeCell ref="A5:L5"/>
    <mergeCell ref="I8:L8"/>
    <mergeCell ref="A9:A10"/>
    <mergeCell ref="B9:B10"/>
    <mergeCell ref="C9:G9"/>
    <mergeCell ref="H9:L9"/>
    <mergeCell ref="A7:B7"/>
  </mergeCells>
  <printOptions horizontalCentered="1"/>
  <pageMargins left="0.7086614173228347" right="0.22" top="1.19" bottom="0" header="0.67" footer="0.31496062992125984"/>
  <pageSetup fitToHeight="1" fitToWidth="1" horizontalDpi="600" verticalDpi="600" orientation="landscape" paperSize="9" r:id="rId1"/>
  <rowBreaks count="1" manualBreakCount="1">
    <brk id="29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view="pageBreakPreview" zoomScale="90" zoomScaleSheetLayoutView="90" zoomScalePageLayoutView="0" workbookViewId="0" topLeftCell="A4">
      <selection activeCell="K29" sqref="K29:M29"/>
    </sheetView>
  </sheetViews>
  <sheetFormatPr defaultColWidth="9.140625" defaultRowHeight="12.75"/>
  <cols>
    <col min="1" max="1" width="5.7109375" style="133" customWidth="1"/>
    <col min="2" max="2" width="12.421875" style="133" customWidth="1"/>
    <col min="3" max="3" width="13.00390625" style="133" customWidth="1"/>
    <col min="4" max="4" width="12.00390625" style="133" customWidth="1"/>
    <col min="5" max="5" width="12.421875" style="133" customWidth="1"/>
    <col min="6" max="6" width="12.7109375" style="133" customWidth="1"/>
    <col min="7" max="7" width="13.140625" style="133" customWidth="1"/>
    <col min="8" max="8" width="12.7109375" style="133" customWidth="1"/>
    <col min="9" max="9" width="12.140625" style="133" customWidth="1"/>
    <col min="10" max="10" width="12.140625" style="235" customWidth="1"/>
    <col min="11" max="11" width="16.57421875" style="133" customWidth="1"/>
    <col min="12" max="12" width="13.140625" style="133" customWidth="1"/>
    <col min="13" max="13" width="12.7109375" style="133" customWidth="1"/>
    <col min="14" max="17" width="9.140625" style="133" customWidth="1"/>
    <col min="18" max="18" width="9.57421875" style="133" bestFit="1" customWidth="1"/>
    <col min="19" max="16384" width="9.140625" style="133" customWidth="1"/>
  </cols>
  <sheetData>
    <row r="1" spans="11:13" ht="12.75">
      <c r="K1" s="707" t="s">
        <v>202</v>
      </c>
      <c r="L1" s="707"/>
      <c r="M1" s="707"/>
    </row>
    <row r="2" ht="12.75" customHeight="1"/>
    <row r="3" spans="1:13" ht="15.75">
      <c r="A3" s="801" t="s">
        <v>0</v>
      </c>
      <c r="B3" s="801"/>
      <c r="C3" s="801"/>
      <c r="D3" s="801"/>
      <c r="E3" s="801"/>
      <c r="F3" s="801"/>
      <c r="G3" s="801"/>
      <c r="H3" s="801"/>
      <c r="I3" s="801"/>
      <c r="J3" s="801"/>
      <c r="K3" s="801"/>
      <c r="L3" s="801"/>
      <c r="M3" s="801"/>
    </row>
    <row r="4" spans="1:13" ht="20.25">
      <c r="A4" s="802" t="s">
        <v>878</v>
      </c>
      <c r="B4" s="802"/>
      <c r="C4" s="802"/>
      <c r="D4" s="802"/>
      <c r="E4" s="802"/>
      <c r="F4" s="802"/>
      <c r="G4" s="802"/>
      <c r="H4" s="802"/>
      <c r="I4" s="802"/>
      <c r="J4" s="802"/>
      <c r="K4" s="802"/>
      <c r="L4" s="802"/>
      <c r="M4" s="802"/>
    </row>
    <row r="5" ht="10.5" customHeight="1"/>
    <row r="6" spans="1:13" ht="15.75">
      <c r="A6" s="799" t="s">
        <v>898</v>
      </c>
      <c r="B6" s="799"/>
      <c r="C6" s="799"/>
      <c r="D6" s="799"/>
      <c r="E6" s="799"/>
      <c r="F6" s="799"/>
      <c r="G6" s="799"/>
      <c r="H6" s="799"/>
      <c r="I6" s="799"/>
      <c r="J6" s="799"/>
      <c r="K6" s="799"/>
      <c r="L6" s="799"/>
      <c r="M6" s="799"/>
    </row>
    <row r="7" spans="1:13" ht="15.75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</row>
    <row r="8" spans="2:13" ht="15.75">
      <c r="B8" s="134"/>
      <c r="C8" s="134"/>
      <c r="D8" s="134"/>
      <c r="E8" s="134"/>
      <c r="F8" s="134"/>
      <c r="G8" s="134"/>
      <c r="H8" s="134"/>
      <c r="L8" s="803" t="s">
        <v>184</v>
      </c>
      <c r="M8" s="803"/>
    </row>
    <row r="9" spans="1:13" ht="15.75">
      <c r="A9" s="668" t="s">
        <v>472</v>
      </c>
      <c r="B9" s="668"/>
      <c r="C9" s="134"/>
      <c r="D9" s="134"/>
      <c r="E9" s="134"/>
      <c r="F9" s="134"/>
      <c r="G9" s="763" t="s">
        <v>929</v>
      </c>
      <c r="H9" s="763"/>
      <c r="I9" s="763"/>
      <c r="J9" s="763"/>
      <c r="K9" s="763"/>
      <c r="L9" s="763"/>
      <c r="M9" s="763"/>
    </row>
    <row r="10" spans="1:13" ht="15.75" customHeight="1">
      <c r="A10" s="810" t="s">
        <v>21</v>
      </c>
      <c r="B10" s="800" t="s">
        <v>3</v>
      </c>
      <c r="C10" s="800" t="s">
        <v>899</v>
      </c>
      <c r="D10" s="800" t="s">
        <v>935</v>
      </c>
      <c r="E10" s="800" t="s">
        <v>217</v>
      </c>
      <c r="F10" s="800" t="s">
        <v>216</v>
      </c>
      <c r="G10" s="800"/>
      <c r="H10" s="800" t="s">
        <v>181</v>
      </c>
      <c r="I10" s="800"/>
      <c r="J10" s="804" t="s">
        <v>434</v>
      </c>
      <c r="K10" s="800" t="s">
        <v>183</v>
      </c>
      <c r="L10" s="800" t="s">
        <v>409</v>
      </c>
      <c r="M10" s="800" t="s">
        <v>234</v>
      </c>
    </row>
    <row r="11" spans="1:13" ht="12.75">
      <c r="A11" s="811"/>
      <c r="B11" s="800"/>
      <c r="C11" s="800"/>
      <c r="D11" s="800"/>
      <c r="E11" s="800"/>
      <c r="F11" s="800"/>
      <c r="G11" s="800"/>
      <c r="H11" s="800"/>
      <c r="I11" s="800"/>
      <c r="J11" s="805"/>
      <c r="K11" s="800"/>
      <c r="L11" s="800"/>
      <c r="M11" s="800"/>
    </row>
    <row r="12" spans="1:13" ht="27" customHeight="1">
      <c r="A12" s="812"/>
      <c r="B12" s="800"/>
      <c r="C12" s="800"/>
      <c r="D12" s="800"/>
      <c r="E12" s="800"/>
      <c r="F12" s="256" t="s">
        <v>182</v>
      </c>
      <c r="G12" s="256" t="s">
        <v>235</v>
      </c>
      <c r="H12" s="256" t="s">
        <v>182</v>
      </c>
      <c r="I12" s="256" t="s">
        <v>235</v>
      </c>
      <c r="J12" s="806"/>
      <c r="K12" s="800"/>
      <c r="L12" s="800"/>
      <c r="M12" s="800"/>
    </row>
    <row r="13" spans="1:13" ht="12.75">
      <c r="A13" s="138">
        <v>1</v>
      </c>
      <c r="B13" s="138">
        <v>2</v>
      </c>
      <c r="C13" s="138">
        <v>3</v>
      </c>
      <c r="D13" s="138">
        <v>4</v>
      </c>
      <c r="E13" s="138">
        <v>5</v>
      </c>
      <c r="F13" s="138">
        <v>6</v>
      </c>
      <c r="G13" s="138">
        <v>7</v>
      </c>
      <c r="H13" s="138">
        <v>8</v>
      </c>
      <c r="I13" s="138">
        <v>9</v>
      </c>
      <c r="J13" s="236">
        <v>10</v>
      </c>
      <c r="K13" s="138">
        <v>11</v>
      </c>
      <c r="L13" s="157">
        <v>12</v>
      </c>
      <c r="M13" s="157">
        <v>13</v>
      </c>
    </row>
    <row r="14" spans="1:18" ht="15">
      <c r="A14" s="8">
        <v>1</v>
      </c>
      <c r="B14" s="19" t="s">
        <v>473</v>
      </c>
      <c r="C14" s="468">
        <v>56.61</v>
      </c>
      <c r="D14" s="468">
        <f>17.4*C14/292.4</f>
        <v>3.3687209302325583</v>
      </c>
      <c r="E14" s="468">
        <f>258.4*C14/292.4</f>
        <v>50.02744186046512</v>
      </c>
      <c r="F14" s="326">
        <f>'T6_FG_py_Utlsn'!E12+'T6A_FG_Upy_Utlsn '!E12</f>
        <v>1195.4772008747668</v>
      </c>
      <c r="G14" s="468">
        <f>F14*3000/100000</f>
        <v>35.864316026243</v>
      </c>
      <c r="H14" s="326">
        <f>F14</f>
        <v>1195.4772008747668</v>
      </c>
      <c r="I14" s="326">
        <f>G14</f>
        <v>35.864316026243</v>
      </c>
      <c r="J14" s="814" t="s">
        <v>676</v>
      </c>
      <c r="K14" s="468">
        <f>(D14+E14)-I14</f>
        <v>17.53184676445467</v>
      </c>
      <c r="L14" s="807">
        <v>0</v>
      </c>
      <c r="M14" s="807">
        <v>0</v>
      </c>
      <c r="N14" s="467"/>
      <c r="O14" s="467"/>
      <c r="R14" s="467"/>
    </row>
    <row r="15" spans="1:18" ht="15">
      <c r="A15" s="8">
        <v>2</v>
      </c>
      <c r="B15" s="19" t="s">
        <v>474</v>
      </c>
      <c r="C15" s="468">
        <v>38.38</v>
      </c>
      <c r="D15" s="468">
        <f aca="true" t="shared" si="0" ref="D15:D21">17.4*C15/292.4</f>
        <v>2.2838987688098498</v>
      </c>
      <c r="E15" s="468">
        <f aca="true" t="shared" si="1" ref="E15:E21">258.4*C15/292.4</f>
        <v>33.91720930232558</v>
      </c>
      <c r="F15" s="326">
        <f>'T6_FG_py_Utlsn'!E13+'T6A_FG_Upy_Utlsn '!E13</f>
        <v>810.5347108928061</v>
      </c>
      <c r="G15" s="468">
        <f aca="true" t="shared" si="2" ref="G15:G21">F15*3000/100000</f>
        <v>24.31604132678418</v>
      </c>
      <c r="H15" s="326">
        <f aca="true" t="shared" si="3" ref="H15:H21">F15</f>
        <v>810.5347108928061</v>
      </c>
      <c r="I15" s="326">
        <f aca="true" t="shared" si="4" ref="I15:I21">G15</f>
        <v>24.31604132678418</v>
      </c>
      <c r="J15" s="815"/>
      <c r="K15" s="468">
        <f aca="true" t="shared" si="5" ref="K15:K21">(D15+E15)-I15</f>
        <v>11.88506674435125</v>
      </c>
      <c r="L15" s="808"/>
      <c r="M15" s="808"/>
      <c r="N15" s="467"/>
      <c r="O15" s="467"/>
      <c r="R15" s="467"/>
    </row>
    <row r="16" spans="1:18" ht="15">
      <c r="A16" s="8">
        <v>3</v>
      </c>
      <c r="B16" s="19" t="s">
        <v>475</v>
      </c>
      <c r="C16" s="468">
        <v>23.54</v>
      </c>
      <c r="D16" s="468">
        <f t="shared" si="0"/>
        <v>1.4008071135430915</v>
      </c>
      <c r="E16" s="468">
        <f t="shared" si="1"/>
        <v>20.802790697674418</v>
      </c>
      <c r="F16" s="326">
        <f>'T6_FG_py_Utlsn'!E14+'T6A_FG_Upy_Utlsn '!E14</f>
        <v>497.139610497078</v>
      </c>
      <c r="G16" s="468">
        <f t="shared" si="2"/>
        <v>14.91418831491234</v>
      </c>
      <c r="H16" s="326">
        <f t="shared" si="3"/>
        <v>497.139610497078</v>
      </c>
      <c r="I16" s="326">
        <f t="shared" si="4"/>
        <v>14.91418831491234</v>
      </c>
      <c r="J16" s="815"/>
      <c r="K16" s="468">
        <f t="shared" si="5"/>
        <v>7.2894094963051685</v>
      </c>
      <c r="L16" s="808"/>
      <c r="M16" s="808"/>
      <c r="N16" s="467"/>
      <c r="O16" s="467"/>
      <c r="R16" s="467"/>
    </row>
    <row r="17" spans="1:18" ht="15">
      <c r="A17" s="8">
        <v>4</v>
      </c>
      <c r="B17" s="19" t="s">
        <v>476</v>
      </c>
      <c r="C17" s="468">
        <v>33.77</v>
      </c>
      <c r="D17" s="468">
        <f t="shared" si="0"/>
        <v>2.0095690834473325</v>
      </c>
      <c r="E17" s="468">
        <f t="shared" si="1"/>
        <v>29.84325581395349</v>
      </c>
      <c r="F17" s="326">
        <f>'T6_FG_py_Utlsn'!E15+'T6A_FG_Upy_Utlsn '!E15</f>
        <v>713.1945616287796</v>
      </c>
      <c r="G17" s="468">
        <f t="shared" si="2"/>
        <v>21.39583684886339</v>
      </c>
      <c r="H17" s="326">
        <f t="shared" si="3"/>
        <v>713.1945616287796</v>
      </c>
      <c r="I17" s="326">
        <f t="shared" si="4"/>
        <v>21.39583684886339</v>
      </c>
      <c r="J17" s="815"/>
      <c r="K17" s="468">
        <f t="shared" si="5"/>
        <v>10.456988048537433</v>
      </c>
      <c r="L17" s="808"/>
      <c r="M17" s="808"/>
      <c r="N17" s="467"/>
      <c r="O17" s="467"/>
      <c r="R17" s="467"/>
    </row>
    <row r="18" spans="1:18" ht="15">
      <c r="A18" s="8">
        <v>5</v>
      </c>
      <c r="B18" s="19" t="s">
        <v>477</v>
      </c>
      <c r="C18" s="468">
        <v>35.88</v>
      </c>
      <c r="D18" s="468">
        <f t="shared" si="0"/>
        <v>2.1351299589603285</v>
      </c>
      <c r="E18" s="468">
        <f t="shared" si="1"/>
        <v>31.707906976744187</v>
      </c>
      <c r="F18" s="326">
        <f>'T6_FG_py_Utlsn'!E16+'T6A_FG_Upy_Utlsn '!E16</f>
        <v>758.2874603680957</v>
      </c>
      <c r="G18" s="468">
        <f t="shared" si="2"/>
        <v>22.748623811042872</v>
      </c>
      <c r="H18" s="326">
        <f t="shared" si="3"/>
        <v>758.2874603680957</v>
      </c>
      <c r="I18" s="326">
        <f t="shared" si="4"/>
        <v>22.748623811042872</v>
      </c>
      <c r="J18" s="815"/>
      <c r="K18" s="468">
        <f t="shared" si="5"/>
        <v>11.094413124661646</v>
      </c>
      <c r="L18" s="808"/>
      <c r="M18" s="808"/>
      <c r="N18" s="467"/>
      <c r="O18" s="467"/>
      <c r="R18" s="467"/>
    </row>
    <row r="19" spans="1:18" s="136" customFormat="1" ht="15">
      <c r="A19" s="8">
        <v>6</v>
      </c>
      <c r="B19" s="19" t="s">
        <v>478</v>
      </c>
      <c r="C19" s="468">
        <v>26.6</v>
      </c>
      <c r="D19" s="468">
        <f t="shared" si="0"/>
        <v>1.5829001367989057</v>
      </c>
      <c r="E19" s="468">
        <f t="shared" si="1"/>
        <v>23.506976744186048</v>
      </c>
      <c r="F19" s="326">
        <f>'T6_FG_py_Utlsn'!E17+'T6A_FG_Upy_Utlsn '!E17</f>
        <v>561.6308540752199</v>
      </c>
      <c r="G19" s="468">
        <f t="shared" si="2"/>
        <v>16.848925622256598</v>
      </c>
      <c r="H19" s="326">
        <f t="shared" si="3"/>
        <v>561.6308540752199</v>
      </c>
      <c r="I19" s="326">
        <f t="shared" si="4"/>
        <v>16.848925622256598</v>
      </c>
      <c r="J19" s="815"/>
      <c r="K19" s="468">
        <f t="shared" si="5"/>
        <v>8.240951258728355</v>
      </c>
      <c r="L19" s="808"/>
      <c r="M19" s="808"/>
      <c r="N19" s="467"/>
      <c r="O19" s="467"/>
      <c r="P19" s="133"/>
      <c r="R19" s="467"/>
    </row>
    <row r="20" spans="1:18" s="136" customFormat="1" ht="15">
      <c r="A20" s="8">
        <v>7</v>
      </c>
      <c r="B20" s="19" t="s">
        <v>479</v>
      </c>
      <c r="C20" s="468">
        <v>40.28</v>
      </c>
      <c r="D20" s="468">
        <f t="shared" si="0"/>
        <v>2.396963064295486</v>
      </c>
      <c r="E20" s="468">
        <f t="shared" si="1"/>
        <v>35.59627906976744</v>
      </c>
      <c r="F20" s="326">
        <f>'T6_FG_py_Utlsn'!E18+'T6A_FG_Upy_Utlsn '!E18</f>
        <v>849.1086076190946</v>
      </c>
      <c r="G20" s="468">
        <f t="shared" si="2"/>
        <v>25.47325822857284</v>
      </c>
      <c r="H20" s="326">
        <f t="shared" si="3"/>
        <v>849.1086076190946</v>
      </c>
      <c r="I20" s="326">
        <f t="shared" si="4"/>
        <v>25.47325822857284</v>
      </c>
      <c r="J20" s="815"/>
      <c r="K20" s="468">
        <f t="shared" si="5"/>
        <v>12.519983905490086</v>
      </c>
      <c r="L20" s="808"/>
      <c r="M20" s="808"/>
      <c r="N20" s="467"/>
      <c r="O20" s="467"/>
      <c r="P20" s="133"/>
      <c r="R20" s="467"/>
    </row>
    <row r="21" spans="1:18" ht="15.75" customHeight="1">
      <c r="A21" s="8">
        <v>8</v>
      </c>
      <c r="B21" s="19" t="s">
        <v>480</v>
      </c>
      <c r="C21" s="468">
        <v>37.34</v>
      </c>
      <c r="D21" s="468">
        <f t="shared" si="0"/>
        <v>2.2220109439124487</v>
      </c>
      <c r="E21" s="468">
        <f t="shared" si="1"/>
        <v>32.99813953488373</v>
      </c>
      <c r="F21" s="326">
        <f>'T6_FG_py_Utlsn'!E19+'T6A_FG_Upy_Utlsn '!E19</f>
        <v>787.1069940441594</v>
      </c>
      <c r="G21" s="468">
        <f t="shared" si="2"/>
        <v>23.61320982132478</v>
      </c>
      <c r="H21" s="326">
        <f t="shared" si="3"/>
        <v>787.1069940441594</v>
      </c>
      <c r="I21" s="326">
        <f t="shared" si="4"/>
        <v>23.61320982132478</v>
      </c>
      <c r="J21" s="816"/>
      <c r="K21" s="468">
        <f t="shared" si="5"/>
        <v>11.606940657471398</v>
      </c>
      <c r="L21" s="809"/>
      <c r="M21" s="809"/>
      <c r="N21" s="467"/>
      <c r="O21" s="467"/>
      <c r="R21" s="467"/>
    </row>
    <row r="22" spans="1:18" ht="15.75" customHeight="1">
      <c r="A22" s="3"/>
      <c r="B22" s="27" t="s">
        <v>481</v>
      </c>
      <c r="C22" s="326">
        <f>SUM(C14:C21)</f>
        <v>292.4</v>
      </c>
      <c r="D22" s="326">
        <f aca="true" t="shared" si="6" ref="D22:M22">SUM(D14:D21)</f>
        <v>17.4</v>
      </c>
      <c r="E22" s="326">
        <f t="shared" si="6"/>
        <v>258.4</v>
      </c>
      <c r="F22" s="326">
        <f t="shared" si="6"/>
        <v>6172.4800000000005</v>
      </c>
      <c r="G22" s="432">
        <f t="shared" si="6"/>
        <v>185.1744</v>
      </c>
      <c r="H22" s="326">
        <f t="shared" si="6"/>
        <v>6172.4800000000005</v>
      </c>
      <c r="I22" s="326">
        <f t="shared" si="6"/>
        <v>185.1744</v>
      </c>
      <c r="J22" s="326"/>
      <c r="K22" s="326">
        <f t="shared" si="6"/>
        <v>90.62560000000002</v>
      </c>
      <c r="L22" s="469">
        <f t="shared" si="6"/>
        <v>0</v>
      </c>
      <c r="M22" s="469">
        <f t="shared" si="6"/>
        <v>0</v>
      </c>
      <c r="N22" s="467"/>
      <c r="O22" s="467"/>
      <c r="R22" s="467"/>
    </row>
    <row r="23" spans="9:12" ht="12.75">
      <c r="I23" s="332"/>
      <c r="J23" s="332"/>
      <c r="K23" s="332"/>
      <c r="L23" s="332"/>
    </row>
    <row r="24" spans="1:12" ht="12.75">
      <c r="A24" s="188" t="s">
        <v>556</v>
      </c>
      <c r="B24" s="188" t="s">
        <v>677</v>
      </c>
      <c r="I24" s="86"/>
      <c r="J24" s="86"/>
      <c r="K24" s="86" t="s">
        <v>11</v>
      </c>
      <c r="L24" s="86"/>
    </row>
    <row r="25" spans="1:13" ht="12.75">
      <c r="A25" s="188"/>
      <c r="B25" s="188"/>
      <c r="I25" s="86"/>
      <c r="J25" s="86"/>
      <c r="K25" s="86"/>
      <c r="L25" s="86"/>
      <c r="M25" s="133" t="s">
        <v>11</v>
      </c>
    </row>
    <row r="26" spans="6:12" ht="15.75" customHeight="1">
      <c r="F26" s="133" t="s">
        <v>11</v>
      </c>
      <c r="I26" s="86"/>
      <c r="J26" s="86"/>
      <c r="K26" s="86"/>
      <c r="L26" s="86"/>
    </row>
    <row r="27" spans="2:12" s="16" customFormat="1" ht="12.75">
      <c r="B27" s="86"/>
      <c r="D27" s="133"/>
      <c r="E27" s="133"/>
      <c r="F27" s="86"/>
      <c r="G27" s="86"/>
      <c r="H27" s="86"/>
      <c r="I27" s="86"/>
      <c r="J27" s="813"/>
      <c r="K27" s="813"/>
      <c r="L27" s="813"/>
    </row>
    <row r="28" spans="2:13" s="16" customFormat="1" ht="12.75" customHeight="1">
      <c r="B28" s="86"/>
      <c r="D28" s="133"/>
      <c r="E28" s="133"/>
      <c r="F28" s="86"/>
      <c r="G28" s="86"/>
      <c r="H28" s="86"/>
      <c r="I28" s="86"/>
      <c r="K28" s="699" t="s">
        <v>1062</v>
      </c>
      <c r="L28" s="699"/>
      <c r="M28" s="699"/>
    </row>
    <row r="29" spans="1:13" s="16" customFormat="1" ht="12.75" customHeight="1">
      <c r="A29" s="15" t="s">
        <v>19</v>
      </c>
      <c r="B29" s="86"/>
      <c r="D29" s="133"/>
      <c r="E29" s="133"/>
      <c r="F29" s="86"/>
      <c r="G29" s="86"/>
      <c r="H29" s="86"/>
      <c r="I29" s="86"/>
      <c r="K29" s="699" t="s">
        <v>485</v>
      </c>
      <c r="L29" s="699"/>
      <c r="M29" s="699"/>
    </row>
    <row r="30" spans="2:12" s="16" customFormat="1" ht="12.75">
      <c r="B30" s="15"/>
      <c r="D30" s="133"/>
      <c r="E30" s="133"/>
      <c r="F30" s="15"/>
      <c r="G30" s="16" t="s">
        <v>11</v>
      </c>
      <c r="K30" s="29" t="s">
        <v>80</v>
      </c>
      <c r="L30" s="31"/>
    </row>
    <row r="31" spans="1:14" ht="12.75">
      <c r="A31" s="15"/>
      <c r="F31" s="16" t="s">
        <v>11</v>
      </c>
      <c r="G31" s="16"/>
      <c r="H31" s="16"/>
      <c r="I31" s="16"/>
      <c r="J31" s="237"/>
      <c r="K31" s="16"/>
      <c r="L31" s="16"/>
      <c r="M31" s="16"/>
      <c r="N31" s="16"/>
    </row>
  </sheetData>
  <sheetProtection/>
  <mergeCells count="24">
    <mergeCell ref="A10:A12"/>
    <mergeCell ref="C10:C12"/>
    <mergeCell ref="J27:L27"/>
    <mergeCell ref="J14:J21"/>
    <mergeCell ref="M14:M21"/>
    <mergeCell ref="H10:I11"/>
    <mergeCell ref="K10:K12"/>
    <mergeCell ref="F10:G11"/>
    <mergeCell ref="K29:M29"/>
    <mergeCell ref="M10:M12"/>
    <mergeCell ref="L10:L12"/>
    <mergeCell ref="J10:J12"/>
    <mergeCell ref="L14:L21"/>
    <mergeCell ref="K28:M28"/>
    <mergeCell ref="K1:M1"/>
    <mergeCell ref="A6:M6"/>
    <mergeCell ref="A9:B9"/>
    <mergeCell ref="B10:B12"/>
    <mergeCell ref="A3:M3"/>
    <mergeCell ref="A4:M4"/>
    <mergeCell ref="G9:M9"/>
    <mergeCell ref="D10:D12"/>
    <mergeCell ref="L8:M8"/>
    <mergeCell ref="E10:E12"/>
  </mergeCells>
  <printOptions horizontalCentered="1"/>
  <pageMargins left="0.51" right="0.22" top="1.24" bottom="0" header="0.94" footer="0.31496062992125984"/>
  <pageSetup fitToHeight="1" fitToWidth="1" horizontalDpi="600" verticalDpi="600" orientation="landscape" paperSize="9" scale="8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view="pageBreakPreview" zoomScaleSheetLayoutView="100" zoomScalePageLayoutView="0" workbookViewId="0" topLeftCell="A4">
      <selection activeCell="F16" sqref="F16:H17"/>
    </sheetView>
  </sheetViews>
  <sheetFormatPr defaultColWidth="9.140625" defaultRowHeight="12.75"/>
  <cols>
    <col min="1" max="1" width="4.421875" style="16" customWidth="1"/>
    <col min="2" max="2" width="12.140625" style="16" customWidth="1"/>
    <col min="3" max="3" width="10.57421875" style="16" customWidth="1"/>
    <col min="4" max="4" width="9.8515625" style="16" customWidth="1"/>
    <col min="5" max="5" width="8.7109375" style="16" customWidth="1"/>
    <col min="6" max="6" width="14.28125" style="16" customWidth="1"/>
    <col min="7" max="7" width="13.8515625" style="16" customWidth="1"/>
    <col min="8" max="8" width="11.57421875" style="16" customWidth="1"/>
    <col min="9" max="9" width="12.140625" style="16" customWidth="1"/>
    <col min="10" max="10" width="9.00390625" style="16" customWidth="1"/>
    <col min="11" max="11" width="12.00390625" style="16" customWidth="1"/>
    <col min="12" max="12" width="13.7109375" style="16" customWidth="1"/>
    <col min="13" max="13" width="9.140625" style="16" hidden="1" customWidth="1"/>
    <col min="14" max="16384" width="9.140625" style="16" customWidth="1"/>
  </cols>
  <sheetData>
    <row r="1" spans="4:16" ht="15">
      <c r="D1" s="31"/>
      <c r="E1" s="31"/>
      <c r="F1" s="31"/>
      <c r="G1" s="31"/>
      <c r="H1" s="31"/>
      <c r="I1" s="31"/>
      <c r="J1" s="31"/>
      <c r="K1" s="31"/>
      <c r="L1" s="796" t="s">
        <v>435</v>
      </c>
      <c r="M1" s="796"/>
      <c r="N1" s="796"/>
      <c r="O1" s="44"/>
      <c r="P1" s="44"/>
    </row>
    <row r="2" spans="1:16" ht="15">
      <c r="A2" s="772" t="s">
        <v>0</v>
      </c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46"/>
      <c r="N2" s="46"/>
      <c r="O2" s="46"/>
      <c r="P2" s="46"/>
    </row>
    <row r="3" spans="1:16" ht="20.25">
      <c r="A3" s="797" t="s">
        <v>878</v>
      </c>
      <c r="B3" s="797"/>
      <c r="C3" s="797"/>
      <c r="D3" s="797"/>
      <c r="E3" s="797"/>
      <c r="F3" s="797"/>
      <c r="G3" s="797"/>
      <c r="H3" s="797"/>
      <c r="I3" s="797"/>
      <c r="J3" s="797"/>
      <c r="K3" s="797"/>
      <c r="L3" s="797"/>
      <c r="M3" s="45"/>
      <c r="N3" s="45"/>
      <c r="O3" s="45"/>
      <c r="P3" s="45"/>
    </row>
    <row r="4" ht="10.5" customHeight="1"/>
    <row r="5" spans="1:12" ht="19.5" customHeight="1">
      <c r="A5" s="773" t="s">
        <v>900</v>
      </c>
      <c r="B5" s="773"/>
      <c r="C5" s="773"/>
      <c r="D5" s="773"/>
      <c r="E5" s="773"/>
      <c r="F5" s="773"/>
      <c r="G5" s="773"/>
      <c r="H5" s="773"/>
      <c r="I5" s="773"/>
      <c r="J5" s="773"/>
      <c r="K5" s="773"/>
      <c r="L5" s="773"/>
    </row>
    <row r="6" spans="1:12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2.75">
      <c r="A7" s="668" t="s">
        <v>472</v>
      </c>
      <c r="B7" s="668"/>
      <c r="F7" s="795" t="s">
        <v>17</v>
      </c>
      <c r="G7" s="795"/>
      <c r="H7" s="795"/>
      <c r="I7" s="795"/>
      <c r="J7" s="795"/>
      <c r="K7" s="795"/>
      <c r="L7" s="795"/>
    </row>
    <row r="8" spans="1:12" ht="12.75">
      <c r="A8" s="15"/>
      <c r="F8" s="17"/>
      <c r="G8" s="103"/>
      <c r="H8" s="103"/>
      <c r="I8" s="763" t="s">
        <v>929</v>
      </c>
      <c r="J8" s="763"/>
      <c r="K8" s="763"/>
      <c r="L8" s="763"/>
    </row>
    <row r="9" spans="1:19" s="282" customFormat="1" ht="12.75">
      <c r="A9" s="674" t="s">
        <v>493</v>
      </c>
      <c r="B9" s="674" t="s">
        <v>3</v>
      </c>
      <c r="C9" s="664" t="s">
        <v>22</v>
      </c>
      <c r="D9" s="775"/>
      <c r="E9" s="775"/>
      <c r="F9" s="775"/>
      <c r="G9" s="775"/>
      <c r="H9" s="664" t="s">
        <v>23</v>
      </c>
      <c r="I9" s="775"/>
      <c r="J9" s="775"/>
      <c r="K9" s="775"/>
      <c r="L9" s="775"/>
      <c r="R9" s="158"/>
      <c r="S9" s="283"/>
    </row>
    <row r="10" spans="1:12" s="282" customFormat="1" ht="63.75">
      <c r="A10" s="674"/>
      <c r="B10" s="674"/>
      <c r="C10" s="257" t="s">
        <v>896</v>
      </c>
      <c r="D10" s="257" t="s">
        <v>935</v>
      </c>
      <c r="E10" s="257" t="s">
        <v>66</v>
      </c>
      <c r="F10" s="257" t="s">
        <v>67</v>
      </c>
      <c r="G10" s="257" t="s">
        <v>366</v>
      </c>
      <c r="H10" s="257" t="s">
        <v>896</v>
      </c>
      <c r="I10" s="257" t="s">
        <v>935</v>
      </c>
      <c r="J10" s="257" t="s">
        <v>66</v>
      </c>
      <c r="K10" s="257" t="s">
        <v>67</v>
      </c>
      <c r="L10" s="257" t="s">
        <v>367</v>
      </c>
    </row>
    <row r="11" spans="1:12" s="15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2.75">
      <c r="A12" s="8">
        <v>1</v>
      </c>
      <c r="B12" s="19" t="s">
        <v>473</v>
      </c>
      <c r="C12" s="323"/>
      <c r="D12" s="19"/>
      <c r="E12" s="323"/>
      <c r="F12" s="323"/>
      <c r="G12" s="323"/>
      <c r="H12" s="25"/>
      <c r="I12" s="25"/>
      <c r="J12" s="25"/>
      <c r="K12" s="19"/>
      <c r="L12" s="19"/>
    </row>
    <row r="13" spans="1:12" ht="12.75">
      <c r="A13" s="8">
        <v>2</v>
      </c>
      <c r="B13" s="19" t="s">
        <v>474</v>
      </c>
      <c r="C13" s="323"/>
      <c r="D13" s="19"/>
      <c r="E13" s="323"/>
      <c r="F13" s="323"/>
      <c r="G13" s="323"/>
      <c r="H13" s="25"/>
      <c r="I13" s="25"/>
      <c r="J13" s="25"/>
      <c r="K13" s="19"/>
      <c r="L13" s="19"/>
    </row>
    <row r="14" spans="1:12" ht="12.75">
      <c r="A14" s="8">
        <v>3</v>
      </c>
      <c r="B14" s="19" t="s">
        <v>475</v>
      </c>
      <c r="C14" s="323"/>
      <c r="D14" s="19"/>
      <c r="E14" s="323"/>
      <c r="F14" s="323"/>
      <c r="G14" s="323"/>
      <c r="H14" s="25"/>
      <c r="I14" s="25"/>
      <c r="J14" s="25"/>
      <c r="K14" s="19"/>
      <c r="L14" s="19"/>
    </row>
    <row r="15" spans="1:12" ht="12.75">
      <c r="A15" s="8">
        <v>4</v>
      </c>
      <c r="B15" s="19" t="s">
        <v>476</v>
      </c>
      <c r="C15" s="323"/>
      <c r="D15" s="19"/>
      <c r="E15" s="323"/>
      <c r="F15" s="323"/>
      <c r="G15" s="323"/>
      <c r="H15" s="25"/>
      <c r="I15" s="25"/>
      <c r="J15" s="25"/>
      <c r="K15" s="19"/>
      <c r="L15" s="19"/>
    </row>
    <row r="16" spans="1:12" ht="12.75">
      <c r="A16" s="8">
        <v>5</v>
      </c>
      <c r="B16" s="19" t="s">
        <v>477</v>
      </c>
      <c r="C16" s="323"/>
      <c r="D16" s="19"/>
      <c r="E16" s="323"/>
      <c r="F16" s="817" t="s">
        <v>509</v>
      </c>
      <c r="G16" s="818"/>
      <c r="H16" s="819"/>
      <c r="I16" s="25"/>
      <c r="J16" s="25"/>
      <c r="K16" s="19"/>
      <c r="L16" s="19"/>
    </row>
    <row r="17" spans="1:12" ht="12.75">
      <c r="A17" s="8">
        <v>6</v>
      </c>
      <c r="B17" s="19" t="s">
        <v>478</v>
      </c>
      <c r="C17" s="323"/>
      <c r="D17" s="19"/>
      <c r="E17" s="323"/>
      <c r="F17" s="820"/>
      <c r="G17" s="821"/>
      <c r="H17" s="822"/>
      <c r="I17" s="25"/>
      <c r="J17" s="25"/>
      <c r="K17" s="19"/>
      <c r="L17" s="19"/>
    </row>
    <row r="18" spans="1:12" ht="12.75">
      <c r="A18" s="8">
        <v>7</v>
      </c>
      <c r="B18" s="19" t="s">
        <v>479</v>
      </c>
      <c r="C18" s="323"/>
      <c r="D18" s="19"/>
      <c r="E18" s="323"/>
      <c r="F18" s="323"/>
      <c r="G18" s="323"/>
      <c r="H18" s="25"/>
      <c r="I18" s="25"/>
      <c r="J18" s="25"/>
      <c r="K18" s="19"/>
      <c r="L18" s="19"/>
    </row>
    <row r="19" spans="1:12" ht="12.75">
      <c r="A19" s="8">
        <v>8</v>
      </c>
      <c r="B19" s="19" t="s">
        <v>480</v>
      </c>
      <c r="C19" s="323"/>
      <c r="D19" s="19"/>
      <c r="E19" s="323"/>
      <c r="F19" s="323"/>
      <c r="G19" s="323"/>
      <c r="H19" s="25"/>
      <c r="I19" s="25"/>
      <c r="J19" s="25"/>
      <c r="K19" s="19"/>
      <c r="L19" s="19"/>
    </row>
    <row r="20" spans="1:12" ht="12.75">
      <c r="A20" s="3"/>
      <c r="B20" s="27" t="s">
        <v>481</v>
      </c>
      <c r="C20" s="323"/>
      <c r="D20" s="323"/>
      <c r="E20" s="323"/>
      <c r="F20" s="323"/>
      <c r="G20" s="323"/>
      <c r="H20" s="323"/>
      <c r="I20" s="323"/>
      <c r="J20" s="323"/>
      <c r="K20" s="323"/>
      <c r="L20" s="323"/>
    </row>
    <row r="21" spans="1:12" ht="12.75">
      <c r="A21" s="21" t="s">
        <v>365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12.75">
      <c r="A22" s="20" t="s">
        <v>155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ht="15.75" customHeight="1">
      <c r="A23" s="337"/>
      <c r="B23" s="349"/>
      <c r="C23" s="349"/>
      <c r="D23" s="349"/>
      <c r="E23" s="349"/>
      <c r="F23" s="349"/>
      <c r="G23" s="349"/>
      <c r="H23" s="349"/>
      <c r="I23" s="349"/>
      <c r="J23" s="349"/>
      <c r="K23" s="15"/>
      <c r="L23" s="15"/>
    </row>
    <row r="24" spans="2:12" ht="12.75">
      <c r="B24" s="86"/>
      <c r="C24" s="86"/>
      <c r="D24" s="86"/>
      <c r="E24" s="86"/>
      <c r="F24" s="86"/>
      <c r="G24" s="86"/>
      <c r="H24" s="86"/>
      <c r="I24" s="86"/>
      <c r="J24" s="777"/>
      <c r="K24" s="777"/>
      <c r="L24" s="777"/>
    </row>
    <row r="25" spans="2:12" ht="12.75" customHeight="1">
      <c r="B25" s="86"/>
      <c r="C25" s="86"/>
      <c r="D25" s="86"/>
      <c r="E25" s="86"/>
      <c r="F25" s="86"/>
      <c r="G25" s="86"/>
      <c r="H25" s="86"/>
      <c r="I25" s="86"/>
      <c r="J25" s="777" t="s">
        <v>1062</v>
      </c>
      <c r="K25" s="777"/>
      <c r="L25" s="777"/>
    </row>
    <row r="26" spans="2:12" ht="12.75" customHeight="1">
      <c r="B26" s="86"/>
      <c r="C26" s="86"/>
      <c r="D26" s="86"/>
      <c r="E26" s="86"/>
      <c r="F26" s="86"/>
      <c r="G26" s="86"/>
      <c r="H26" s="86"/>
      <c r="I26" s="86"/>
      <c r="J26" s="777" t="s">
        <v>485</v>
      </c>
      <c r="K26" s="777"/>
      <c r="L26" s="777"/>
    </row>
    <row r="27" spans="1:12" ht="12.75">
      <c r="A27" s="15" t="s">
        <v>19</v>
      </c>
      <c r="B27" s="15"/>
      <c r="C27" s="15"/>
      <c r="D27" s="15"/>
      <c r="E27" s="15"/>
      <c r="F27" s="15"/>
      <c r="J27" s="824" t="s">
        <v>540</v>
      </c>
      <c r="K27" s="824"/>
      <c r="L27" s="824"/>
    </row>
    <row r="28" ht="12.75">
      <c r="A28" s="15"/>
    </row>
    <row r="29" spans="1:12" ht="12.75">
      <c r="A29" s="823"/>
      <c r="B29" s="823"/>
      <c r="C29" s="823"/>
      <c r="D29" s="823"/>
      <c r="E29" s="823"/>
      <c r="F29" s="823"/>
      <c r="G29" s="823"/>
      <c r="H29" s="823"/>
      <c r="I29" s="823"/>
      <c r="J29" s="823"/>
      <c r="K29" s="823"/>
      <c r="L29" s="823"/>
    </row>
  </sheetData>
  <sheetProtection/>
  <mergeCells count="17">
    <mergeCell ref="A29:L29"/>
    <mergeCell ref="I8:L8"/>
    <mergeCell ref="A9:A10"/>
    <mergeCell ref="B9:B10"/>
    <mergeCell ref="C9:G9"/>
    <mergeCell ref="H9:L9"/>
    <mergeCell ref="J24:L24"/>
    <mergeCell ref="J25:L25"/>
    <mergeCell ref="J26:L26"/>
    <mergeCell ref="J27:L27"/>
    <mergeCell ref="F16:H17"/>
    <mergeCell ref="L1:N1"/>
    <mergeCell ref="A2:L2"/>
    <mergeCell ref="A3:L3"/>
    <mergeCell ref="A5:L5"/>
    <mergeCell ref="A7:B7"/>
    <mergeCell ref="F7:L7"/>
  </mergeCells>
  <printOptions horizontalCentered="1"/>
  <pageMargins left="0.54" right="0.25" top="1.27" bottom="0" header="0.91" footer="0.31496062992125984"/>
  <pageSetup fitToHeight="1" fitToWidth="1" horizontalDpi="600" verticalDpi="600" orientation="landscape" paperSize="9" r:id="rId1"/>
  <rowBreaks count="1" manualBreakCount="1">
    <brk id="28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view="pageBreakPreview" zoomScaleSheetLayoutView="100" zoomScalePageLayoutView="0" workbookViewId="0" topLeftCell="A6">
      <selection activeCell="F28" sqref="F28"/>
    </sheetView>
  </sheetViews>
  <sheetFormatPr defaultColWidth="9.140625" defaultRowHeight="12.75"/>
  <cols>
    <col min="1" max="1" width="7.421875" style="16" customWidth="1"/>
    <col min="2" max="2" width="13.00390625" style="16" customWidth="1"/>
    <col min="3" max="5" width="9.28125" style="16" customWidth="1"/>
    <col min="6" max="8" width="8.57421875" style="16" customWidth="1"/>
    <col min="9" max="9" width="9.28125" style="16" customWidth="1"/>
    <col min="10" max="10" width="7.140625" style="16" customWidth="1"/>
    <col min="11" max="12" width="8.7109375" style="16" customWidth="1"/>
    <col min="13" max="13" width="7.8515625" style="16" customWidth="1"/>
    <col min="14" max="14" width="8.8515625" style="16" customWidth="1"/>
    <col min="15" max="15" width="10.57421875" style="16" customWidth="1"/>
    <col min="16" max="16" width="11.8515625" style="16" customWidth="1"/>
    <col min="17" max="17" width="13.140625" style="16" customWidth="1"/>
    <col min="18" max="18" width="9.140625" style="16" customWidth="1"/>
    <col min="19" max="19" width="9.57421875" style="16" bestFit="1" customWidth="1"/>
    <col min="20" max="16384" width="9.140625" style="16" customWidth="1"/>
  </cols>
  <sheetData>
    <row r="1" spans="8:21" ht="15">
      <c r="H1" s="31"/>
      <c r="I1" s="31"/>
      <c r="J1" s="31"/>
      <c r="K1" s="31"/>
      <c r="L1" s="31"/>
      <c r="M1" s="31"/>
      <c r="N1" s="31"/>
      <c r="O1" s="31"/>
      <c r="P1" s="832" t="s">
        <v>60</v>
      </c>
      <c r="Q1" s="832"/>
      <c r="T1" s="44"/>
      <c r="U1" s="44"/>
    </row>
    <row r="2" spans="1:21" ht="15">
      <c r="A2" s="772" t="s">
        <v>0</v>
      </c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  <c r="O2" s="772"/>
      <c r="P2" s="772"/>
      <c r="Q2" s="772"/>
      <c r="R2" s="46"/>
      <c r="S2" s="46"/>
      <c r="T2" s="46"/>
      <c r="U2" s="46"/>
    </row>
    <row r="3" spans="1:21" ht="20.25">
      <c r="A3" s="701" t="s">
        <v>878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45"/>
      <c r="S3" s="45"/>
      <c r="T3" s="45"/>
      <c r="U3" s="45"/>
    </row>
    <row r="4" ht="10.5" customHeight="1"/>
    <row r="5" spans="1:17" ht="12.75">
      <c r="A5" s="24"/>
      <c r="B5" s="24"/>
      <c r="C5" s="24"/>
      <c r="D5" s="24"/>
      <c r="E5" s="23"/>
      <c r="F5" s="23"/>
      <c r="G5" s="23"/>
      <c r="H5" s="23"/>
      <c r="I5" s="23"/>
      <c r="J5" s="23"/>
      <c r="K5" s="23"/>
      <c r="L5" s="23"/>
      <c r="M5" s="23"/>
      <c r="N5" s="24"/>
      <c r="O5" s="24"/>
      <c r="P5" s="23"/>
      <c r="Q5" s="21"/>
    </row>
    <row r="6" spans="1:17" ht="18" customHeight="1">
      <c r="A6" s="773" t="s">
        <v>901</v>
      </c>
      <c r="B6" s="773"/>
      <c r="C6" s="773"/>
      <c r="D6" s="773"/>
      <c r="E6" s="773"/>
      <c r="F6" s="773"/>
      <c r="G6" s="773"/>
      <c r="H6" s="773"/>
      <c r="I6" s="773"/>
      <c r="J6" s="773"/>
      <c r="K6" s="773"/>
      <c r="L6" s="773"/>
      <c r="M6" s="773"/>
      <c r="N6" s="773"/>
      <c r="O6" s="773"/>
      <c r="P6" s="773"/>
      <c r="Q6" s="773"/>
    </row>
    <row r="7" ht="9.75" customHeight="1"/>
    <row r="8" ht="0.75" customHeight="1"/>
    <row r="9" spans="1:19" ht="12.75">
      <c r="A9" s="668" t="s">
        <v>472</v>
      </c>
      <c r="B9" s="668"/>
      <c r="P9" s="676" t="s">
        <v>20</v>
      </c>
      <c r="Q9" s="825"/>
      <c r="R9" s="19"/>
      <c r="S9" s="21"/>
    </row>
    <row r="10" spans="1:17" ht="15.75">
      <c r="A10" s="14"/>
      <c r="N10" s="776" t="s">
        <v>929</v>
      </c>
      <c r="O10" s="776"/>
      <c r="P10" s="776"/>
      <c r="Q10" s="776"/>
    </row>
    <row r="11" spans="1:17" s="280" customFormat="1" ht="28.5" customHeight="1">
      <c r="A11" s="708" t="s">
        <v>2</v>
      </c>
      <c r="B11" s="708" t="s">
        <v>3</v>
      </c>
      <c r="C11" s="674" t="s">
        <v>902</v>
      </c>
      <c r="D11" s="674"/>
      <c r="E11" s="674"/>
      <c r="F11" s="674" t="s">
        <v>936</v>
      </c>
      <c r="G11" s="674"/>
      <c r="H11" s="674"/>
      <c r="I11" s="717" t="s">
        <v>374</v>
      </c>
      <c r="J11" s="718"/>
      <c r="K11" s="829"/>
      <c r="L11" s="717" t="s">
        <v>88</v>
      </c>
      <c r="M11" s="718"/>
      <c r="N11" s="829"/>
      <c r="O11" s="826" t="s">
        <v>924</v>
      </c>
      <c r="P11" s="827"/>
      <c r="Q11" s="828"/>
    </row>
    <row r="12" spans="1:17" s="280" customFormat="1" ht="34.5" customHeight="1">
      <c r="A12" s="710"/>
      <c r="B12" s="710"/>
      <c r="C12" s="257" t="s">
        <v>170</v>
      </c>
      <c r="D12" s="257" t="s">
        <v>369</v>
      </c>
      <c r="E12" s="257" t="s">
        <v>16</v>
      </c>
      <c r="F12" s="257" t="s">
        <v>170</v>
      </c>
      <c r="G12" s="257" t="s">
        <v>370</v>
      </c>
      <c r="H12" s="257" t="s">
        <v>16</v>
      </c>
      <c r="I12" s="257" t="s">
        <v>170</v>
      </c>
      <c r="J12" s="257" t="s">
        <v>370</v>
      </c>
      <c r="K12" s="257" t="s">
        <v>16</v>
      </c>
      <c r="L12" s="257" t="s">
        <v>170</v>
      </c>
      <c r="M12" s="257" t="s">
        <v>370</v>
      </c>
      <c r="N12" s="257" t="s">
        <v>16</v>
      </c>
      <c r="O12" s="257" t="s">
        <v>230</v>
      </c>
      <c r="P12" s="257" t="s">
        <v>371</v>
      </c>
      <c r="Q12" s="257" t="s">
        <v>107</v>
      </c>
    </row>
    <row r="13" spans="1:17" s="71" customFormat="1" ht="12.75">
      <c r="A13" s="68">
        <v>1</v>
      </c>
      <c r="B13" s="68">
        <v>2</v>
      </c>
      <c r="C13" s="68">
        <v>3</v>
      </c>
      <c r="D13" s="68">
        <v>4</v>
      </c>
      <c r="E13" s="68">
        <v>5</v>
      </c>
      <c r="F13" s="68">
        <v>6</v>
      </c>
      <c r="G13" s="68">
        <v>7</v>
      </c>
      <c r="H13" s="68">
        <v>8</v>
      </c>
      <c r="I13" s="68">
        <v>9</v>
      </c>
      <c r="J13" s="68">
        <v>10</v>
      </c>
      <c r="K13" s="68">
        <v>11</v>
      </c>
      <c r="L13" s="68">
        <v>12</v>
      </c>
      <c r="M13" s="68">
        <v>13</v>
      </c>
      <c r="N13" s="68">
        <v>14</v>
      </c>
      <c r="O13" s="68">
        <v>15</v>
      </c>
      <c r="P13" s="68">
        <v>16</v>
      </c>
      <c r="Q13" s="68">
        <v>17</v>
      </c>
    </row>
    <row r="14" spans="1:17" ht="12.75">
      <c r="A14" s="8">
        <v>1</v>
      </c>
      <c r="B14" s="19" t="s">
        <v>473</v>
      </c>
      <c r="C14" s="323">
        <f>2048.96*'enrolment vs availed_PY'!G11/266326</f>
        <v>388.86433618948206</v>
      </c>
      <c r="D14" s="323">
        <f>254.21*C14/2048.96</f>
        <v>48.245550378108035</v>
      </c>
      <c r="E14" s="323">
        <f>SUM(C14:D14)</f>
        <v>437.1098865675901</v>
      </c>
      <c r="F14" s="323">
        <f>227.569*C14/2048.96</f>
        <v>43.1894561740123</v>
      </c>
      <c r="G14" s="323">
        <f>34.125*D14/254.21</f>
        <v>6.476454138912461</v>
      </c>
      <c r="H14" s="323">
        <f>SUM(F14:G14)</f>
        <v>49.66591031292476</v>
      </c>
      <c r="I14" s="323">
        <f>1897.115*C14/2048.96</f>
        <v>360.0462503660927</v>
      </c>
      <c r="J14" s="323">
        <f>234.951*D14/254.21</f>
        <v>44.590457916237995</v>
      </c>
      <c r="K14" s="323">
        <f>SUM(I14:J14)</f>
        <v>404.6367082823307</v>
      </c>
      <c r="L14" s="323">
        <f>(('enrolment vs availed_PY'!L11*45*4.03)/100000)+(('enrolment vs availed_PY'!L11*118*4.03)/100000)</f>
        <v>257.10674600000004</v>
      </c>
      <c r="M14" s="323">
        <f>'enrolment vs availed_PY'!Q11*0.5/100000</f>
        <v>31.8991</v>
      </c>
      <c r="N14" s="323">
        <f>SUM(L14:M14)</f>
        <v>289.005846</v>
      </c>
      <c r="O14" s="323">
        <f>(F14+I14)-L14</f>
        <v>146.12896054010497</v>
      </c>
      <c r="P14" s="323">
        <f>(G14+J14)-M14</f>
        <v>19.167812055150453</v>
      </c>
      <c r="Q14" s="323">
        <f>SUM(O14:P14)</f>
        <v>165.29677259525542</v>
      </c>
    </row>
    <row r="15" spans="1:17" ht="12.75">
      <c r="A15" s="8">
        <v>2</v>
      </c>
      <c r="B15" s="19" t="s">
        <v>474</v>
      </c>
      <c r="C15" s="323">
        <f>2048.96*'enrolment vs availed_PY'!G12/266326</f>
        <v>263.0537023046943</v>
      </c>
      <c r="D15" s="323">
        <f aca="true" t="shared" si="0" ref="D15:D21">254.21*C15/2048.96</f>
        <v>32.63649932789139</v>
      </c>
      <c r="E15" s="323">
        <f aca="true" t="shared" si="1" ref="E15:E21">SUM(C15:D15)</f>
        <v>295.6902016325857</v>
      </c>
      <c r="F15" s="323">
        <f aca="true" t="shared" si="2" ref="F15:F21">227.569*C15/2048.96</f>
        <v>29.21622090220257</v>
      </c>
      <c r="G15" s="323">
        <f aca="true" t="shared" si="3" ref="G15:G21">34.125*D15/254.21</f>
        <v>4.381104360820951</v>
      </c>
      <c r="H15" s="323">
        <f aca="true" t="shared" si="4" ref="H15:H21">SUM(F15:G15)</f>
        <v>33.59732526302352</v>
      </c>
      <c r="I15" s="323">
        <f aca="true" t="shared" si="5" ref="I15:I21">1897.115*C15/2048.96</f>
        <v>243.55923221916</v>
      </c>
      <c r="J15" s="323">
        <f aca="true" t="shared" si="6" ref="J15:J21">234.951*D15/254.21</f>
        <v>30.163951668256207</v>
      </c>
      <c r="K15" s="323">
        <f aca="true" t="shared" si="7" ref="K15:K21">SUM(I15:J15)</f>
        <v>273.7231838874162</v>
      </c>
      <c r="L15" s="323">
        <f>(('enrolment vs availed_PY'!L12*45*4.03)/100000)+(('enrolment vs availed_PY'!L12*118*4.03)/100000)</f>
        <v>174.73930890000003</v>
      </c>
      <c r="M15" s="323">
        <f>'enrolment vs availed_PY'!Q12*0.5/100000</f>
        <v>21.679815</v>
      </c>
      <c r="N15" s="323">
        <f aca="true" t="shared" si="8" ref="N15:N21">SUM(L15:M15)</f>
        <v>196.41912390000002</v>
      </c>
      <c r="O15" s="323">
        <f aca="true" t="shared" si="9" ref="O15:O21">(F15+I15)-L15</f>
        <v>98.03614422136258</v>
      </c>
      <c r="P15" s="323">
        <f aca="true" t="shared" si="10" ref="P15:P21">(G15+J15)-M15</f>
        <v>12.865241029077158</v>
      </c>
      <c r="Q15" s="323">
        <f aca="true" t="shared" si="11" ref="Q15:Q21">SUM(O15:P15)</f>
        <v>110.90138525043973</v>
      </c>
    </row>
    <row r="16" spans="1:17" ht="12.75">
      <c r="A16" s="8">
        <v>3</v>
      </c>
      <c r="B16" s="19" t="s">
        <v>475</v>
      </c>
      <c r="C16" s="323">
        <f>2048.96*'enrolment vs availed_PY'!G13/266326</f>
        <v>160.60031690484595</v>
      </c>
      <c r="D16" s="323">
        <f t="shared" si="0"/>
        <v>19.9253311730736</v>
      </c>
      <c r="E16" s="323">
        <f t="shared" si="1"/>
        <v>180.52564807791956</v>
      </c>
      <c r="F16" s="323">
        <f t="shared" si="2"/>
        <v>17.83717276946299</v>
      </c>
      <c r="G16" s="323">
        <f t="shared" si="3"/>
        <v>2.6747646681135153</v>
      </c>
      <c r="H16" s="323">
        <f t="shared" si="4"/>
        <v>20.511937437576503</v>
      </c>
      <c r="I16" s="323">
        <f t="shared" si="5"/>
        <v>148.69849592229073</v>
      </c>
      <c r="J16" s="323">
        <f t="shared" si="6"/>
        <v>18.41578413297988</v>
      </c>
      <c r="K16" s="323">
        <f t="shared" si="7"/>
        <v>167.11428005527063</v>
      </c>
      <c r="L16" s="323">
        <f>(('enrolment vs availed_PY'!L13*45*4.03)/100000)+(('enrolment vs availed_PY'!L13*118*4.03)/100000)</f>
        <v>107.4409284</v>
      </c>
      <c r="M16" s="323">
        <f>'enrolment vs availed_PY'!Q13*0.5/100000</f>
        <v>13.33014</v>
      </c>
      <c r="N16" s="323">
        <f t="shared" si="8"/>
        <v>120.7710684</v>
      </c>
      <c r="O16" s="323">
        <f t="shared" si="9"/>
        <v>59.09474029175372</v>
      </c>
      <c r="P16" s="323">
        <f t="shared" si="10"/>
        <v>7.760408801093394</v>
      </c>
      <c r="Q16" s="323">
        <f t="shared" si="11"/>
        <v>66.85514909284711</v>
      </c>
    </row>
    <row r="17" spans="1:17" ht="12.75">
      <c r="A17" s="8">
        <v>4</v>
      </c>
      <c r="B17" s="19" t="s">
        <v>476</v>
      </c>
      <c r="C17" s="323">
        <f>2048.96*'enrolment vs availed_PY'!G14/266326</f>
        <v>232.1415071754166</v>
      </c>
      <c r="D17" s="323">
        <f t="shared" si="0"/>
        <v>28.801290673835826</v>
      </c>
      <c r="E17" s="323">
        <f t="shared" si="1"/>
        <v>260.94279784925243</v>
      </c>
      <c r="F17" s="323">
        <f t="shared" si="2"/>
        <v>25.78293897704317</v>
      </c>
      <c r="G17" s="323">
        <f t="shared" si="3"/>
        <v>3.8662682201512433</v>
      </c>
      <c r="H17" s="323">
        <f t="shared" si="4"/>
        <v>29.649207197194414</v>
      </c>
      <c r="I17" s="323">
        <f t="shared" si="5"/>
        <v>214.9378881896623</v>
      </c>
      <c r="J17" s="323">
        <f t="shared" si="6"/>
        <v>26.619299182205268</v>
      </c>
      <c r="K17" s="323">
        <f t="shared" si="7"/>
        <v>241.55718737186754</v>
      </c>
      <c r="L17" s="323">
        <f>(('enrolment vs availed_PY'!L14*45*4.03)/100000)+(('enrolment vs availed_PY'!L14*118*4.03)/100000)</f>
        <v>155.2034003</v>
      </c>
      <c r="M17" s="323">
        <f>'enrolment vs availed_PY'!Q14*0.5/100000</f>
        <v>19.256005</v>
      </c>
      <c r="N17" s="323">
        <f t="shared" si="8"/>
        <v>174.4594053</v>
      </c>
      <c r="O17" s="323">
        <f t="shared" si="9"/>
        <v>85.51742686670545</v>
      </c>
      <c r="P17" s="323">
        <f t="shared" si="10"/>
        <v>11.229562402356514</v>
      </c>
      <c r="Q17" s="323">
        <f t="shared" si="11"/>
        <v>96.74698926906197</v>
      </c>
    </row>
    <row r="18" spans="1:17" ht="12.75">
      <c r="A18" s="8">
        <v>5</v>
      </c>
      <c r="B18" s="19" t="s">
        <v>477</v>
      </c>
      <c r="C18" s="323">
        <f>2048.96*'enrolment vs availed_PY'!G15/266326</f>
        <v>237.09607503585832</v>
      </c>
      <c r="D18" s="323">
        <f t="shared" si="0"/>
        <v>29.415993106193163</v>
      </c>
      <c r="E18" s="323">
        <f t="shared" si="1"/>
        <v>266.5120681420515</v>
      </c>
      <c r="F18" s="323">
        <f t="shared" si="2"/>
        <v>26.333221097451993</v>
      </c>
      <c r="G18" s="323">
        <f t="shared" si="3"/>
        <v>3.94878551099029</v>
      </c>
      <c r="H18" s="323">
        <f t="shared" si="4"/>
        <v>30.282006608442284</v>
      </c>
      <c r="I18" s="323">
        <f t="shared" si="5"/>
        <v>219.52528130937273</v>
      </c>
      <c r="J18" s="323">
        <f t="shared" si="6"/>
        <v>27.18743163641552</v>
      </c>
      <c r="K18" s="323">
        <f t="shared" si="7"/>
        <v>246.71271294578824</v>
      </c>
      <c r="L18" s="323">
        <f>(('enrolment vs availed_PY'!L15*45*4.03)/100000)+(('enrolment vs availed_PY'!L15*118*4.03)/100000)</f>
        <v>159.06591350000002</v>
      </c>
      <c r="M18" s="323">
        <f>'enrolment vs availed_PY'!Q15*0.5/100000</f>
        <v>19.735225</v>
      </c>
      <c r="N18" s="323">
        <f t="shared" si="8"/>
        <v>178.80113850000004</v>
      </c>
      <c r="O18" s="323">
        <f t="shared" si="9"/>
        <v>86.7925889068247</v>
      </c>
      <c r="P18" s="323">
        <f t="shared" si="10"/>
        <v>11.400992147405812</v>
      </c>
      <c r="Q18" s="323">
        <f t="shared" si="11"/>
        <v>98.19358105423052</v>
      </c>
    </row>
    <row r="19" spans="1:17" ht="12.75">
      <c r="A19" s="8">
        <v>6</v>
      </c>
      <c r="B19" s="19" t="s">
        <v>478</v>
      </c>
      <c r="C19" s="323">
        <f>2048.96*'enrolment vs availed_PY'!G16/266326</f>
        <v>185.32699563692617</v>
      </c>
      <c r="D19" s="323">
        <f t="shared" si="0"/>
        <v>22.993116293565027</v>
      </c>
      <c r="E19" s="323">
        <f t="shared" si="1"/>
        <v>208.3201119304912</v>
      </c>
      <c r="F19" s="323">
        <f t="shared" si="2"/>
        <v>20.583456519453602</v>
      </c>
      <c r="G19" s="323">
        <f t="shared" si="3"/>
        <v>3.0865823276736024</v>
      </c>
      <c r="H19" s="323">
        <f t="shared" si="4"/>
        <v>23.670038847127206</v>
      </c>
      <c r="I19" s="323">
        <f t="shared" si="5"/>
        <v>171.59272183339218</v>
      </c>
      <c r="J19" s="323">
        <f t="shared" si="6"/>
        <v>21.251153244519873</v>
      </c>
      <c r="K19" s="323">
        <f t="shared" si="7"/>
        <v>192.84387507791206</v>
      </c>
      <c r="L19" s="323">
        <f>(('enrolment vs availed_PY'!L16*45*4.03)/100000)+(('enrolment vs availed_PY'!L16*118*4.03)/100000)</f>
        <v>122.772741</v>
      </c>
      <c r="M19" s="323">
        <f>'enrolment vs availed_PY'!Q16*0.5/100000</f>
        <v>15.23235</v>
      </c>
      <c r="N19" s="323">
        <f t="shared" si="8"/>
        <v>138.005091</v>
      </c>
      <c r="O19" s="323">
        <f t="shared" si="9"/>
        <v>69.40343735284577</v>
      </c>
      <c r="P19" s="323">
        <f t="shared" si="10"/>
        <v>9.105385572193477</v>
      </c>
      <c r="Q19" s="323">
        <f t="shared" si="11"/>
        <v>78.50882292503925</v>
      </c>
    </row>
    <row r="20" spans="1:17" ht="12.75">
      <c r="A20" s="8">
        <v>7</v>
      </c>
      <c r="B20" s="19" t="s">
        <v>479</v>
      </c>
      <c r="C20" s="323">
        <f>2048.96*'enrolment vs availed_PY'!G17/266326</f>
        <v>301.78242064237065</v>
      </c>
      <c r="D20" s="323">
        <f t="shared" si="0"/>
        <v>37.441486974610065</v>
      </c>
      <c r="E20" s="323">
        <f t="shared" si="1"/>
        <v>339.22390761698074</v>
      </c>
      <c r="F20" s="323">
        <f t="shared" si="2"/>
        <v>33.517649775087676</v>
      </c>
      <c r="G20" s="323">
        <f t="shared" si="3"/>
        <v>5.026123059708778</v>
      </c>
      <c r="H20" s="323">
        <f t="shared" si="4"/>
        <v>38.54377283479646</v>
      </c>
      <c r="I20" s="323">
        <f t="shared" si="5"/>
        <v>279.41782999031267</v>
      </c>
      <c r="J20" s="323">
        <f t="shared" si="6"/>
        <v>34.60491249821647</v>
      </c>
      <c r="K20" s="323">
        <f t="shared" si="7"/>
        <v>314.02274248852916</v>
      </c>
      <c r="L20" s="323">
        <f>(('enrolment vs availed_PY'!L17*45*4.03)/100000)+(('enrolment vs availed_PY'!L17*118*4.03)/100000)</f>
        <v>201.8228836</v>
      </c>
      <c r="M20" s="323">
        <f>'enrolment vs availed_PY'!Q17*0.5/100000</f>
        <v>25.04006</v>
      </c>
      <c r="N20" s="323">
        <f t="shared" si="8"/>
        <v>226.86294360000002</v>
      </c>
      <c r="O20" s="323">
        <f t="shared" si="9"/>
        <v>111.11259616540036</v>
      </c>
      <c r="P20" s="323">
        <f t="shared" si="10"/>
        <v>14.590975557925251</v>
      </c>
      <c r="Q20" s="323">
        <f t="shared" si="11"/>
        <v>125.70357172332561</v>
      </c>
    </row>
    <row r="21" spans="1:17" ht="12.75">
      <c r="A21" s="8">
        <v>8</v>
      </c>
      <c r="B21" s="19" t="s">
        <v>480</v>
      </c>
      <c r="C21" s="323">
        <f>2048.96*'enrolment vs availed_PY'!G18/266326</f>
        <v>280.094646110406</v>
      </c>
      <c r="D21" s="323">
        <f t="shared" si="0"/>
        <v>34.750732072722904</v>
      </c>
      <c r="E21" s="323">
        <f t="shared" si="1"/>
        <v>314.8453781831289</v>
      </c>
      <c r="F21" s="323">
        <f t="shared" si="2"/>
        <v>31.108883785285695</v>
      </c>
      <c r="G21" s="323">
        <f t="shared" si="3"/>
        <v>4.664917713629161</v>
      </c>
      <c r="H21" s="323">
        <f t="shared" si="4"/>
        <v>35.77380149891486</v>
      </c>
      <c r="I21" s="323">
        <f t="shared" si="5"/>
        <v>259.3373001697168</v>
      </c>
      <c r="J21" s="323">
        <f t="shared" si="6"/>
        <v>32.1180097211688</v>
      </c>
      <c r="K21" s="323">
        <f t="shared" si="7"/>
        <v>291.4553098908856</v>
      </c>
      <c r="L21" s="323">
        <f>(('enrolment vs availed_PY'!L18*45*4.03)/100000)+(('enrolment vs availed_PY'!L18*118*4.03)/100000)</f>
        <v>187.9165223</v>
      </c>
      <c r="M21" s="323">
        <f>'enrolment vs availed_PY'!Q18*0.5/100000</f>
        <v>23.314705</v>
      </c>
      <c r="N21" s="323">
        <f t="shared" si="8"/>
        <v>211.2312273</v>
      </c>
      <c r="O21" s="323">
        <f t="shared" si="9"/>
        <v>102.52966165500249</v>
      </c>
      <c r="P21" s="323">
        <f t="shared" si="10"/>
        <v>13.468222434797955</v>
      </c>
      <c r="Q21" s="323">
        <f t="shared" si="11"/>
        <v>115.99788408980044</v>
      </c>
    </row>
    <row r="22" spans="1:25" ht="12.75">
      <c r="A22" s="3"/>
      <c r="B22" s="27" t="s">
        <v>481</v>
      </c>
      <c r="C22" s="323">
        <f>SUM(C14:C21)</f>
        <v>2048.96</v>
      </c>
      <c r="D22" s="323">
        <f aca="true" t="shared" si="12" ref="D22:Q22">SUM(D14:D21)</f>
        <v>254.21000000000004</v>
      </c>
      <c r="E22" s="323">
        <f t="shared" si="12"/>
        <v>2303.17</v>
      </c>
      <c r="F22" s="323">
        <f t="shared" si="12"/>
        <v>227.56899999999996</v>
      </c>
      <c r="G22" s="323">
        <f t="shared" si="12"/>
        <v>34.125</v>
      </c>
      <c r="H22" s="323">
        <f t="shared" si="12"/>
        <v>261.694</v>
      </c>
      <c r="I22" s="323">
        <f t="shared" si="12"/>
        <v>1897.1150000000002</v>
      </c>
      <c r="J22" s="323">
        <f t="shared" si="12"/>
        <v>234.951</v>
      </c>
      <c r="K22" s="323">
        <f t="shared" si="12"/>
        <v>2132.0660000000003</v>
      </c>
      <c r="L22" s="323">
        <f t="shared" si="12"/>
        <v>1366.0684440000002</v>
      </c>
      <c r="M22" s="323">
        <f t="shared" si="12"/>
        <v>169.4874</v>
      </c>
      <c r="N22" s="323">
        <f t="shared" si="12"/>
        <v>1535.5558440000002</v>
      </c>
      <c r="O22" s="323">
        <f t="shared" si="12"/>
        <v>758.615556</v>
      </c>
      <c r="P22" s="323">
        <f t="shared" si="12"/>
        <v>99.58860000000001</v>
      </c>
      <c r="Q22" s="323">
        <f t="shared" si="12"/>
        <v>858.204156</v>
      </c>
      <c r="S22" s="430"/>
      <c r="U22" s="431"/>
      <c r="V22" s="433"/>
      <c r="W22" s="431"/>
      <c r="X22" s="433"/>
      <c r="Y22" s="431"/>
    </row>
    <row r="23" spans="1:18" ht="12.75">
      <c r="A23" s="12"/>
      <c r="B23" s="28"/>
      <c r="C23" s="454">
        <f>C22+'T7ACC_UPY_Utlsn '!C21</f>
        <v>3926.3199999999997</v>
      </c>
      <c r="D23" s="28"/>
      <c r="E23" s="649">
        <f>E22+'T7ACC_UPY_Utlsn '!E21</f>
        <v>4388.780000000001</v>
      </c>
      <c r="F23" s="21"/>
      <c r="G23" s="21"/>
      <c r="H23" s="21"/>
      <c r="I23" s="649">
        <f>I22+'T7ACC_UPY_Utlsn '!I21</f>
        <v>3483.3370000000004</v>
      </c>
      <c r="J23" s="21"/>
      <c r="K23" s="21"/>
      <c r="L23" s="21"/>
      <c r="M23" s="21" t="s">
        <v>11</v>
      </c>
      <c r="N23" s="649">
        <f>N22+'T7ACC_UPY_Utlsn '!N21</f>
        <v>2879.4290747000005</v>
      </c>
      <c r="O23" s="21" t="s">
        <v>11</v>
      </c>
      <c r="P23" s="21"/>
      <c r="Q23" s="21" t="s">
        <v>11</v>
      </c>
      <c r="R23" s="433" t="s">
        <v>11</v>
      </c>
    </row>
    <row r="24" spans="1:19" ht="11.25" customHeight="1">
      <c r="A24" s="21"/>
      <c r="B24" s="21"/>
      <c r="C24" s="21"/>
      <c r="D24" s="21"/>
      <c r="E24" s="21"/>
      <c r="F24" s="21" t="s">
        <v>11</v>
      </c>
      <c r="G24" s="21"/>
      <c r="H24" s="21"/>
      <c r="I24" s="21"/>
      <c r="J24" s="21" t="s">
        <v>11</v>
      </c>
      <c r="K24" s="21" t="s">
        <v>11</v>
      </c>
      <c r="L24" s="21" t="s">
        <v>11</v>
      </c>
      <c r="M24" s="433" t="s">
        <v>11</v>
      </c>
      <c r="N24" s="21"/>
      <c r="O24" s="21">
        <f>N23/E23</f>
        <v>0.6560887250443176</v>
      </c>
      <c r="S24" s="16" t="s">
        <v>11</v>
      </c>
    </row>
    <row r="25" spans="1:17" ht="14.25" customHeight="1">
      <c r="A25" s="830" t="s">
        <v>816</v>
      </c>
      <c r="B25" s="830"/>
      <c r="C25" s="830"/>
      <c r="D25" s="830"/>
      <c r="E25" s="830"/>
      <c r="F25" s="830"/>
      <c r="G25" s="830"/>
      <c r="H25" s="830"/>
      <c r="I25" s="830"/>
      <c r="J25" s="830"/>
      <c r="K25" s="830"/>
      <c r="L25" s="830"/>
      <c r="M25" s="830"/>
      <c r="N25" s="830"/>
      <c r="O25" s="830"/>
      <c r="P25" s="830"/>
      <c r="Q25" s="830"/>
    </row>
    <row r="26" spans="1:17" ht="15.75" customHeight="1">
      <c r="A26" s="277"/>
      <c r="B26" s="831"/>
      <c r="C26" s="831"/>
      <c r="D26" s="831"/>
      <c r="E26" s="831"/>
      <c r="F26" s="831"/>
      <c r="G26" s="831"/>
      <c r="H26" s="831"/>
      <c r="I26" s="831"/>
      <c r="J26" s="831"/>
      <c r="K26" s="831"/>
      <c r="L26" s="831"/>
      <c r="M26" s="831"/>
      <c r="N26" s="831"/>
      <c r="O26" s="43"/>
      <c r="P26" s="43"/>
      <c r="Q26" s="43"/>
    </row>
    <row r="27" spans="1:17" ht="12.75">
      <c r="A27" s="15" t="s">
        <v>12</v>
      </c>
      <c r="B27" s="15"/>
      <c r="F27" s="480"/>
      <c r="H27" s="16" t="s">
        <v>11</v>
      </c>
      <c r="J27" s="338"/>
      <c r="K27" s="15"/>
      <c r="L27" s="15"/>
      <c r="M27" s="15" t="s">
        <v>11</v>
      </c>
      <c r="O27" s="699"/>
      <c r="P27" s="699"/>
      <c r="Q27" s="699"/>
    </row>
    <row r="28" spans="2:17" ht="12.75" customHeight="1">
      <c r="B28" s="86"/>
      <c r="E28" s="33"/>
      <c r="F28" s="480"/>
      <c r="H28" s="33"/>
      <c r="J28" s="338"/>
      <c r="K28" s="86"/>
      <c r="L28" s="86"/>
      <c r="M28" s="86"/>
      <c r="N28" s="699" t="s">
        <v>1062</v>
      </c>
      <c r="O28" s="699"/>
      <c r="P28" s="699"/>
      <c r="Q28" s="699"/>
    </row>
    <row r="29" spans="2:17" ht="12.75" customHeight="1">
      <c r="B29" s="86"/>
      <c r="E29" s="33"/>
      <c r="F29" s="480"/>
      <c r="H29" s="33"/>
      <c r="J29" s="338"/>
      <c r="K29" s="86"/>
      <c r="L29" s="86"/>
      <c r="M29" s="86"/>
      <c r="N29" s="699" t="s">
        <v>485</v>
      </c>
      <c r="O29" s="699"/>
      <c r="P29" s="699"/>
      <c r="Q29" s="699"/>
    </row>
    <row r="30" spans="1:18" ht="12.75">
      <c r="A30" s="15"/>
      <c r="B30" s="15"/>
      <c r="F30" s="480"/>
      <c r="J30" s="338"/>
      <c r="K30" s="15"/>
      <c r="L30" s="15"/>
      <c r="M30" s="15"/>
      <c r="O30" s="668" t="s">
        <v>541</v>
      </c>
      <c r="P30" s="668"/>
      <c r="Q30" s="668"/>
      <c r="R30" s="668"/>
    </row>
    <row r="31" spans="6:10" ht="12.75">
      <c r="F31" s="480"/>
      <c r="J31" s="338"/>
    </row>
    <row r="32" spans="6:17" ht="12.75">
      <c r="F32" s="480"/>
      <c r="J32" s="338"/>
      <c r="L32" s="338"/>
      <c r="O32" s="338"/>
      <c r="P32" s="340"/>
      <c r="Q32" s="338"/>
    </row>
    <row r="33" spans="6:17" ht="12.75">
      <c r="F33" s="480"/>
      <c r="J33" s="338"/>
      <c r="L33" s="338"/>
      <c r="O33" s="338"/>
      <c r="P33" s="340"/>
      <c r="Q33" s="338"/>
    </row>
    <row r="34" spans="6:17" ht="12.75">
      <c r="F34" s="480"/>
      <c r="J34" s="338"/>
      <c r="K34" s="16" t="s">
        <v>11</v>
      </c>
      <c r="L34" s="338"/>
      <c r="O34" s="338"/>
      <c r="P34" s="340"/>
      <c r="Q34" s="338"/>
    </row>
    <row r="35" spans="10:17" ht="12.75">
      <c r="J35" s="338"/>
      <c r="L35" s="338"/>
      <c r="O35" s="338"/>
      <c r="P35" s="340"/>
      <c r="Q35" s="338"/>
    </row>
    <row r="36" spans="3:17" ht="12.75">
      <c r="C36" s="15"/>
      <c r="J36" s="338"/>
      <c r="L36" s="338"/>
      <c r="O36" s="338"/>
      <c r="P36" s="340"/>
      <c r="Q36" s="338"/>
    </row>
    <row r="37" spans="3:17" ht="12.75">
      <c r="C37" s="15"/>
      <c r="I37" s="339"/>
      <c r="L37" s="338"/>
      <c r="O37" s="338"/>
      <c r="P37" s="340"/>
      <c r="Q37" s="338"/>
    </row>
    <row r="38" spans="9:17" ht="12.75">
      <c r="I38" s="339"/>
      <c r="L38" s="338"/>
      <c r="O38" s="338"/>
      <c r="P38" s="340"/>
      <c r="Q38" s="338"/>
    </row>
    <row r="39" spans="9:17" ht="12.75">
      <c r="I39" s="339"/>
      <c r="L39" s="338"/>
      <c r="O39" s="338"/>
      <c r="P39" s="340"/>
      <c r="Q39" s="338"/>
    </row>
    <row r="40" spans="9:18" ht="12.75">
      <c r="I40" s="339"/>
      <c r="L40" s="338"/>
      <c r="O40" s="338"/>
      <c r="P40" s="340"/>
      <c r="Q40" s="338"/>
      <c r="R40" s="338"/>
    </row>
  </sheetData>
  <sheetProtection/>
  <mergeCells count="20">
    <mergeCell ref="N28:Q28"/>
    <mergeCell ref="N29:Q29"/>
    <mergeCell ref="A11:A12"/>
    <mergeCell ref="B11:B12"/>
    <mergeCell ref="I11:K11"/>
    <mergeCell ref="P1:Q1"/>
    <mergeCell ref="A2:Q2"/>
    <mergeCell ref="A3:Q3"/>
    <mergeCell ref="N10:Q10"/>
    <mergeCell ref="A6:Q6"/>
    <mergeCell ref="A9:B9"/>
    <mergeCell ref="P9:Q9"/>
    <mergeCell ref="O30:R30"/>
    <mergeCell ref="O11:Q11"/>
    <mergeCell ref="L11:N11"/>
    <mergeCell ref="C11:E11"/>
    <mergeCell ref="F11:H11"/>
    <mergeCell ref="A25:Q25"/>
    <mergeCell ref="O27:Q27"/>
    <mergeCell ref="B26:N26"/>
  </mergeCells>
  <printOptions horizontalCentered="1"/>
  <pageMargins left="0.6" right="0.3" top="1.3" bottom="0" header="0.93" footer="0.31496062992125984"/>
  <pageSetup fitToHeight="1" fitToWidth="1" horizontalDpi="600" verticalDpi="600" orientation="landscape" paperSize="9" scale="8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view="pageBreakPreview" zoomScaleSheetLayoutView="100" zoomScalePageLayoutView="0" workbookViewId="0" topLeftCell="A1">
      <selection activeCell="O27" sqref="O27:Q27"/>
    </sheetView>
  </sheetViews>
  <sheetFormatPr defaultColWidth="9.140625" defaultRowHeight="12.75"/>
  <cols>
    <col min="1" max="1" width="7.421875" style="16" customWidth="1"/>
    <col min="2" max="2" width="13.140625" style="16" customWidth="1"/>
    <col min="3" max="4" width="9.00390625" style="16" customWidth="1"/>
    <col min="5" max="5" width="9.421875" style="16" customWidth="1"/>
    <col min="6" max="8" width="8.57421875" style="16" customWidth="1"/>
    <col min="9" max="9" width="9.28125" style="16" customWidth="1"/>
    <col min="10" max="10" width="7.57421875" style="16" customWidth="1"/>
    <col min="11" max="11" width="8.57421875" style="16" customWidth="1"/>
    <col min="12" max="12" width="8.7109375" style="16" customWidth="1"/>
    <col min="13" max="13" width="7.8515625" style="16" customWidth="1"/>
    <col min="14" max="14" width="8.8515625" style="16" customWidth="1"/>
    <col min="15" max="15" width="12.28125" style="16" customWidth="1"/>
    <col min="16" max="16" width="11.8515625" style="16" customWidth="1"/>
    <col min="17" max="17" width="12.421875" style="16" customWidth="1"/>
    <col min="18" max="16384" width="9.140625" style="16" customWidth="1"/>
  </cols>
  <sheetData>
    <row r="1" spans="8:21" ht="15">
      <c r="H1" s="31"/>
      <c r="I1" s="31"/>
      <c r="J1" s="31"/>
      <c r="K1" s="31"/>
      <c r="L1" s="31"/>
      <c r="M1" s="31"/>
      <c r="N1" s="31"/>
      <c r="O1" s="31"/>
      <c r="P1" s="833" t="s">
        <v>87</v>
      </c>
      <c r="Q1" s="833"/>
      <c r="R1" s="765"/>
      <c r="T1" s="44"/>
      <c r="U1" s="44"/>
    </row>
    <row r="2" spans="1:21" ht="15">
      <c r="A2" s="772" t="s">
        <v>0</v>
      </c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  <c r="O2" s="772"/>
      <c r="P2" s="772"/>
      <c r="Q2" s="772"/>
      <c r="R2" s="765"/>
      <c r="S2" s="46"/>
      <c r="T2" s="46"/>
      <c r="U2" s="46"/>
    </row>
    <row r="3" spans="1:21" ht="20.25">
      <c r="A3" s="701" t="s">
        <v>878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65"/>
      <c r="S3" s="45"/>
      <c r="T3" s="45"/>
      <c r="U3" s="45"/>
    </row>
    <row r="4" ht="10.5" customHeight="1">
      <c r="R4" s="765"/>
    </row>
    <row r="5" spans="1:18" ht="9" customHeight="1">
      <c r="A5" s="24"/>
      <c r="B5" s="24"/>
      <c r="C5" s="24"/>
      <c r="D5" s="24"/>
      <c r="E5" s="23"/>
      <c r="F5" s="23"/>
      <c r="G5" s="23"/>
      <c r="H5" s="23"/>
      <c r="I5" s="23"/>
      <c r="J5" s="23"/>
      <c r="K5" s="23"/>
      <c r="L5" s="23"/>
      <c r="M5" s="23"/>
      <c r="N5" s="24"/>
      <c r="O5" s="24"/>
      <c r="P5" s="23"/>
      <c r="Q5" s="21"/>
      <c r="R5" s="765"/>
    </row>
    <row r="6" spans="1:18" ht="18" customHeight="1">
      <c r="A6" s="702" t="s">
        <v>903</v>
      </c>
      <c r="B6" s="702"/>
      <c r="C6" s="702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65"/>
    </row>
    <row r="7" ht="5.25" customHeight="1">
      <c r="R7" s="765"/>
    </row>
    <row r="8" spans="1:18" ht="12.75">
      <c r="A8" s="668" t="s">
        <v>472</v>
      </c>
      <c r="B8" s="668"/>
      <c r="Q8" s="30" t="s">
        <v>20</v>
      </c>
      <c r="R8" s="765"/>
    </row>
    <row r="9" spans="1:19" ht="15.75">
      <c r="A9" s="14"/>
      <c r="N9" s="763" t="s">
        <v>929</v>
      </c>
      <c r="O9" s="763"/>
      <c r="P9" s="763"/>
      <c r="Q9" s="763"/>
      <c r="R9" s="765"/>
      <c r="S9" s="21"/>
    </row>
    <row r="10" spans="1:18" ht="36.75" customHeight="1">
      <c r="A10" s="708" t="s">
        <v>2</v>
      </c>
      <c r="B10" s="708" t="s">
        <v>3</v>
      </c>
      <c r="C10" s="674" t="s">
        <v>904</v>
      </c>
      <c r="D10" s="674"/>
      <c r="E10" s="674"/>
      <c r="F10" s="674" t="s">
        <v>937</v>
      </c>
      <c r="G10" s="674"/>
      <c r="H10" s="674"/>
      <c r="I10" s="717" t="s">
        <v>374</v>
      </c>
      <c r="J10" s="718"/>
      <c r="K10" s="829"/>
      <c r="L10" s="717" t="s">
        <v>88</v>
      </c>
      <c r="M10" s="718"/>
      <c r="N10" s="829"/>
      <c r="O10" s="826" t="s">
        <v>925</v>
      </c>
      <c r="P10" s="827"/>
      <c r="Q10" s="828"/>
      <c r="R10" s="765"/>
    </row>
    <row r="11" spans="1:17" ht="32.25" customHeight="1">
      <c r="A11" s="710"/>
      <c r="B11" s="710"/>
      <c r="C11" s="257" t="s">
        <v>170</v>
      </c>
      <c r="D11" s="257" t="s">
        <v>369</v>
      </c>
      <c r="E11" s="257" t="s">
        <v>16</v>
      </c>
      <c r="F11" s="257" t="s">
        <v>170</v>
      </c>
      <c r="G11" s="257" t="s">
        <v>370</v>
      </c>
      <c r="H11" s="257" t="s">
        <v>16</v>
      </c>
      <c r="I11" s="257" t="s">
        <v>170</v>
      </c>
      <c r="J11" s="257" t="s">
        <v>370</v>
      </c>
      <c r="K11" s="257" t="s">
        <v>16</v>
      </c>
      <c r="L11" s="257" t="s">
        <v>170</v>
      </c>
      <c r="M11" s="257" t="s">
        <v>370</v>
      </c>
      <c r="N11" s="257" t="s">
        <v>16</v>
      </c>
      <c r="O11" s="257" t="s">
        <v>230</v>
      </c>
      <c r="P11" s="257" t="s">
        <v>371</v>
      </c>
      <c r="Q11" s="257" t="s">
        <v>107</v>
      </c>
    </row>
    <row r="12" spans="1:17" s="71" customFormat="1" ht="12.75">
      <c r="A12" s="68">
        <v>1</v>
      </c>
      <c r="B12" s="68">
        <v>2</v>
      </c>
      <c r="C12" s="68">
        <v>3</v>
      </c>
      <c r="D12" s="68">
        <v>4</v>
      </c>
      <c r="E12" s="68">
        <v>5</v>
      </c>
      <c r="F12" s="68">
        <v>6</v>
      </c>
      <c r="G12" s="68">
        <v>7</v>
      </c>
      <c r="H12" s="68">
        <v>8</v>
      </c>
      <c r="I12" s="68">
        <v>9</v>
      </c>
      <c r="J12" s="68">
        <v>10</v>
      </c>
      <c r="K12" s="68">
        <v>11</v>
      </c>
      <c r="L12" s="68">
        <v>12</v>
      </c>
      <c r="M12" s="68">
        <v>13</v>
      </c>
      <c r="N12" s="68">
        <v>14</v>
      </c>
      <c r="O12" s="68">
        <v>15</v>
      </c>
      <c r="P12" s="68">
        <v>16</v>
      </c>
      <c r="Q12" s="68">
        <v>17</v>
      </c>
    </row>
    <row r="13" spans="1:17" ht="12.75">
      <c r="A13" s="8">
        <v>1</v>
      </c>
      <c r="B13" s="19" t="s">
        <v>473</v>
      </c>
      <c r="C13" s="323">
        <f>1877.36*'enrolment vs availed_UPY'!G11/165953</f>
        <v>371.26823763354685</v>
      </c>
      <c r="D13" s="323">
        <f>208.25*C13/1877.36</f>
        <v>41.18368905654011</v>
      </c>
      <c r="E13" s="323">
        <f>SUM(C13:D13)</f>
        <v>412.45192669008696</v>
      </c>
      <c r="F13" s="323">
        <f>215.411*C13/1877.36</f>
        <v>42.59985422981205</v>
      </c>
      <c r="G13" s="323">
        <f>28.175*D13/208.25</f>
        <v>5.571910872355427</v>
      </c>
      <c r="H13" s="323">
        <f>SUM(F13:G13)</f>
        <v>48.17176510216748</v>
      </c>
      <c r="I13" s="323">
        <f>1586.222*C13/1877.36</f>
        <v>313.6925504088507</v>
      </c>
      <c r="J13" s="323">
        <f>176.872*D13/208.25</f>
        <v>34.978350304001744</v>
      </c>
      <c r="K13" s="323">
        <f>SUM(I13:J13)</f>
        <v>348.6709007128525</v>
      </c>
      <c r="L13" s="323">
        <f>(('enrolment vs availed_UPY'!L11*45*6.04)/100000)+(('enrolment vs availed_UPY'!L11*116*6.04)/100000)</f>
        <v>237.1683916</v>
      </c>
      <c r="M13" s="323">
        <f>(('enrolment vs availed_UPY'!L11*45*0.67)/100000)+(('enrolment vs availed_UPY'!L11*116*0.67)/100000)</f>
        <v>26.3084143</v>
      </c>
      <c r="N13" s="323">
        <f>SUM(L13:M13)</f>
        <v>263.4768059</v>
      </c>
      <c r="O13" s="323">
        <f>(F13+I13)-L13</f>
        <v>119.12401303866278</v>
      </c>
      <c r="P13" s="323">
        <f>(G13+J13)-M13</f>
        <v>14.241846876357169</v>
      </c>
      <c r="Q13" s="323">
        <f>(H13+K13)-N13</f>
        <v>133.36585991501994</v>
      </c>
    </row>
    <row r="14" spans="1:17" ht="12.75">
      <c r="A14" s="8">
        <v>2</v>
      </c>
      <c r="B14" s="19" t="s">
        <v>474</v>
      </c>
      <c r="C14" s="323">
        <f>1877.36*'enrolment vs availed_UPY'!G12/165953</f>
        <v>252.29361759052262</v>
      </c>
      <c r="D14" s="323">
        <f aca="true" t="shared" si="0" ref="D14:D20">208.25*C14/1877.36</f>
        <v>27.98618584780028</v>
      </c>
      <c r="E14" s="323">
        <f aca="true" t="shared" si="1" ref="E14:E20">SUM(C14:D14)</f>
        <v>280.2798034383229</v>
      </c>
      <c r="F14" s="323">
        <f aca="true" t="shared" si="2" ref="F14:F20">215.411*C14/1877.36</f>
        <v>28.948534356112877</v>
      </c>
      <c r="G14" s="323">
        <f aca="true" t="shared" si="3" ref="G14:G20">28.175*D14/208.25</f>
        <v>3.7863663205847438</v>
      </c>
      <c r="H14" s="323">
        <f aca="true" t="shared" si="4" ref="H14:H20">SUM(F14:G14)</f>
        <v>32.73490067669762</v>
      </c>
      <c r="I14" s="323">
        <f aca="true" t="shared" si="5" ref="I14:I20">1586.222*C14/1877.36</f>
        <v>213.1683250317861</v>
      </c>
      <c r="J14" s="323">
        <f aca="true" t="shared" si="6" ref="J14:J20">176.872*D14/208.25</f>
        <v>23.769376534319957</v>
      </c>
      <c r="K14" s="323">
        <f aca="true" t="shared" si="7" ref="K14:K20">SUM(I14:J14)</f>
        <v>236.93770156610606</v>
      </c>
      <c r="L14" s="323">
        <f>(('enrolment vs availed_UPY'!L12*45*6.04)/100000)+(('enrolment vs availed_UPY'!L12*116*6.04)/100000)</f>
        <v>163.16570760000002</v>
      </c>
      <c r="M14" s="323">
        <f>(('enrolment vs availed_UPY'!L12*45*0.67)/100000)+(('enrolment vs availed_UPY'!L12*116*0.67)/100000)</f>
        <v>18.099507300000003</v>
      </c>
      <c r="N14" s="323">
        <f aca="true" t="shared" si="8" ref="N14:N20">SUM(L14:M14)</f>
        <v>181.26521490000002</v>
      </c>
      <c r="O14" s="323">
        <f aca="true" t="shared" si="9" ref="O14:O20">(F14+I14)-L14</f>
        <v>78.95115178789897</v>
      </c>
      <c r="P14" s="323">
        <f aca="true" t="shared" si="10" ref="P14:P20">(G14+J14)-M14</f>
        <v>9.456235554904698</v>
      </c>
      <c r="Q14" s="323">
        <f aca="true" t="shared" si="11" ref="Q14:Q20">(H14+K14)-N14</f>
        <v>88.40738734280367</v>
      </c>
    </row>
    <row r="15" spans="1:17" ht="12.75">
      <c r="A15" s="8">
        <v>3</v>
      </c>
      <c r="B15" s="19" t="s">
        <v>475</v>
      </c>
      <c r="C15" s="323">
        <f>1877.36*'enrolment vs availed_UPY'!G13/165953</f>
        <v>155.45775683476646</v>
      </c>
      <c r="D15" s="323">
        <f t="shared" si="0"/>
        <v>17.24446981976825</v>
      </c>
      <c r="E15" s="323">
        <f t="shared" si="1"/>
        <v>172.7022266545347</v>
      </c>
      <c r="F15" s="323">
        <f t="shared" si="2"/>
        <v>17.83744772315053</v>
      </c>
      <c r="G15" s="323">
        <f t="shared" si="3"/>
        <v>2.333075328556881</v>
      </c>
      <c r="H15" s="323">
        <f t="shared" si="4"/>
        <v>20.17052305170741</v>
      </c>
      <c r="I15" s="323">
        <f t="shared" si="5"/>
        <v>131.34961539713052</v>
      </c>
      <c r="J15" s="323">
        <f t="shared" si="6"/>
        <v>14.64616502262689</v>
      </c>
      <c r="K15" s="323">
        <f t="shared" si="7"/>
        <v>145.9957804197574</v>
      </c>
      <c r="L15" s="323">
        <f>(('enrolment vs availed_UPY'!L13*45*6.04)/100000)+(('enrolment vs availed_UPY'!L13*116*6.04)/100000)</f>
        <v>100.4336032</v>
      </c>
      <c r="M15" s="323">
        <f>(('enrolment vs availed_UPY'!L13*45*0.67)/100000)+(('enrolment vs availed_UPY'!L13*116*0.67)/100000)</f>
        <v>11.1408136</v>
      </c>
      <c r="N15" s="323">
        <f t="shared" si="8"/>
        <v>111.5744168</v>
      </c>
      <c r="O15" s="323">
        <f t="shared" si="9"/>
        <v>48.753459920281045</v>
      </c>
      <c r="P15" s="323">
        <f t="shared" si="10"/>
        <v>5.838426751183773</v>
      </c>
      <c r="Q15" s="323">
        <f t="shared" si="11"/>
        <v>54.591886671464835</v>
      </c>
    </row>
    <row r="16" spans="1:17" ht="12.75">
      <c r="A16" s="8">
        <v>4</v>
      </c>
      <c r="B16" s="19" t="s">
        <v>476</v>
      </c>
      <c r="C16" s="323">
        <f>1877.36*'enrolment vs availed_UPY'!G14/165953</f>
        <v>221.3423424704585</v>
      </c>
      <c r="D16" s="323">
        <f t="shared" si="0"/>
        <v>24.552852313606866</v>
      </c>
      <c r="E16" s="323">
        <f t="shared" si="1"/>
        <v>245.89519478406538</v>
      </c>
      <c r="F16" s="323">
        <f t="shared" si="2"/>
        <v>25.397140310810894</v>
      </c>
      <c r="G16" s="323">
        <f t="shared" si="3"/>
        <v>3.321856489487988</v>
      </c>
      <c r="H16" s="323">
        <f t="shared" si="4"/>
        <v>28.718996800298882</v>
      </c>
      <c r="I16" s="323">
        <f t="shared" si="5"/>
        <v>187.01692438220462</v>
      </c>
      <c r="J16" s="323">
        <f t="shared" si="6"/>
        <v>20.85335939693769</v>
      </c>
      <c r="K16" s="323">
        <f t="shared" si="7"/>
        <v>207.8702837791423</v>
      </c>
      <c r="L16" s="323">
        <f>(('enrolment vs availed_UPY'!L14*45*6.04)/100000)+(('enrolment vs availed_UPY'!L14*116*6.04)/100000)</f>
        <v>142.89033360000002</v>
      </c>
      <c r="M16" s="323">
        <f>(('enrolment vs availed_UPY'!L14*45*0.67)/100000)+(('enrolment vs availed_UPY'!L14*116*0.67)/100000)</f>
        <v>15.850417800000002</v>
      </c>
      <c r="N16" s="323">
        <f t="shared" si="8"/>
        <v>158.74075140000002</v>
      </c>
      <c r="O16" s="323">
        <f t="shared" si="9"/>
        <v>69.5237310930155</v>
      </c>
      <c r="P16" s="323">
        <f t="shared" si="10"/>
        <v>8.324798086425677</v>
      </c>
      <c r="Q16" s="323">
        <f t="shared" si="11"/>
        <v>77.84852917944119</v>
      </c>
    </row>
    <row r="17" spans="1:17" ht="12.75">
      <c r="A17" s="8">
        <v>5</v>
      </c>
      <c r="B17" s="19" t="s">
        <v>477</v>
      </c>
      <c r="C17" s="323">
        <f>1877.36*'enrolment vs availed_UPY'!G15/165953</f>
        <v>244.68023741661796</v>
      </c>
      <c r="D17" s="323">
        <f t="shared" si="0"/>
        <v>27.141656071297298</v>
      </c>
      <c r="E17" s="323">
        <f t="shared" si="1"/>
        <v>271.82189348791525</v>
      </c>
      <c r="F17" s="323">
        <f t="shared" si="2"/>
        <v>28.074964110320394</v>
      </c>
      <c r="G17" s="323">
        <f t="shared" si="3"/>
        <v>3.6721064096461054</v>
      </c>
      <c r="H17" s="323">
        <f t="shared" si="4"/>
        <v>31.7470705199665</v>
      </c>
      <c r="I17" s="323">
        <f t="shared" si="5"/>
        <v>206.73561573457545</v>
      </c>
      <c r="J17" s="323">
        <f t="shared" si="6"/>
        <v>23.052096003085218</v>
      </c>
      <c r="K17" s="323">
        <f t="shared" si="7"/>
        <v>229.78771173766066</v>
      </c>
      <c r="L17" s="323">
        <f>(('enrolment vs availed_UPY'!L15*45*6.04)/100000)+(('enrolment vs availed_UPY'!L15*116*6.04)/100000)</f>
        <v>157.9923268</v>
      </c>
      <c r="M17" s="323">
        <f>(('enrolment vs availed_UPY'!L15*45*0.67)/100000)+(('enrolment vs availed_UPY'!L15*116*0.67)/100000)</f>
        <v>17.5256389</v>
      </c>
      <c r="N17" s="323">
        <f t="shared" si="8"/>
        <v>175.5179657</v>
      </c>
      <c r="O17" s="323">
        <f t="shared" si="9"/>
        <v>76.81825304489584</v>
      </c>
      <c r="P17" s="323">
        <f t="shared" si="10"/>
        <v>9.198563512731322</v>
      </c>
      <c r="Q17" s="323">
        <f t="shared" si="11"/>
        <v>86.01681655762718</v>
      </c>
    </row>
    <row r="18" spans="1:17" ht="12.75">
      <c r="A18" s="8">
        <v>6</v>
      </c>
      <c r="B18" s="19" t="s">
        <v>478</v>
      </c>
      <c r="C18" s="323">
        <f>1877.36*'enrolment vs availed_UPY'!G16/165953</f>
        <v>171.88365284146715</v>
      </c>
      <c r="D18" s="323">
        <f t="shared" si="0"/>
        <v>19.066545949756858</v>
      </c>
      <c r="E18" s="323">
        <f t="shared" si="1"/>
        <v>190.950198791224</v>
      </c>
      <c r="F18" s="323">
        <f t="shared" si="2"/>
        <v>19.722178773508162</v>
      </c>
      <c r="G18" s="323">
        <f t="shared" si="3"/>
        <v>2.579591510849457</v>
      </c>
      <c r="H18" s="323">
        <f t="shared" si="4"/>
        <v>22.30177028435762</v>
      </c>
      <c r="I18" s="323">
        <f t="shared" si="5"/>
        <v>145.22820960151367</v>
      </c>
      <c r="J18" s="323">
        <f t="shared" si="6"/>
        <v>16.1937004332552</v>
      </c>
      <c r="K18" s="323">
        <f t="shared" si="7"/>
        <v>161.42191003476887</v>
      </c>
      <c r="L18" s="323">
        <f>(('enrolment vs availed_UPY'!L16*45*6.04)/100000)+(('enrolment vs availed_UPY'!L16*116*6.04)/100000)</f>
        <v>110.6928452</v>
      </c>
      <c r="M18" s="323">
        <f>(('enrolment vs availed_UPY'!L16*45*0.67)/100000)+(('enrolment vs availed_UPY'!L16*116*0.67)/100000)</f>
        <v>12.278842099999999</v>
      </c>
      <c r="N18" s="323">
        <f t="shared" si="8"/>
        <v>122.97168729999999</v>
      </c>
      <c r="O18" s="323">
        <f t="shared" si="9"/>
        <v>54.25754317502182</v>
      </c>
      <c r="P18" s="323">
        <f t="shared" si="10"/>
        <v>6.494449844104658</v>
      </c>
      <c r="Q18" s="323">
        <f t="shared" si="11"/>
        <v>60.7519930191265</v>
      </c>
    </row>
    <row r="19" spans="1:17" ht="12.75">
      <c r="A19" s="8">
        <v>7</v>
      </c>
      <c r="B19" s="19" t="s">
        <v>479</v>
      </c>
      <c r="C19" s="323">
        <f>1877.36*'enrolment vs availed_UPY'!G17/165953</f>
        <v>239.1144379432731</v>
      </c>
      <c r="D19" s="323">
        <f t="shared" si="0"/>
        <v>26.524258374359007</v>
      </c>
      <c r="E19" s="323">
        <f t="shared" si="1"/>
        <v>265.6386963176321</v>
      </c>
      <c r="F19" s="323">
        <f t="shared" si="2"/>
        <v>27.436336233752932</v>
      </c>
      <c r="G19" s="323">
        <f t="shared" si="3"/>
        <v>3.5885761330015127</v>
      </c>
      <c r="H19" s="323">
        <f t="shared" si="4"/>
        <v>31.024912366754446</v>
      </c>
      <c r="I19" s="323">
        <f t="shared" si="5"/>
        <v>202.03295158267701</v>
      </c>
      <c r="J19" s="323">
        <f t="shared" si="6"/>
        <v>22.52772450031033</v>
      </c>
      <c r="K19" s="323">
        <f t="shared" si="7"/>
        <v>224.56067608298736</v>
      </c>
      <c r="L19" s="323">
        <f>(('enrolment vs availed_UPY'!L17*45*6.04)/100000)+(('enrolment vs availed_UPY'!L17*116*6.04)/100000)</f>
        <v>154.2484328</v>
      </c>
      <c r="M19" s="323">
        <f>(('enrolment vs availed_UPY'!L17*45*0.67)/100000)+(('enrolment vs availed_UPY'!L17*116*0.67)/100000)</f>
        <v>17.1103394</v>
      </c>
      <c r="N19" s="323">
        <f t="shared" si="8"/>
        <v>171.35877219999998</v>
      </c>
      <c r="O19" s="323">
        <f t="shared" si="9"/>
        <v>75.22085501642997</v>
      </c>
      <c r="P19" s="323">
        <f t="shared" si="10"/>
        <v>9.005961233311844</v>
      </c>
      <c r="Q19" s="323">
        <f t="shared" si="11"/>
        <v>84.22681624974183</v>
      </c>
    </row>
    <row r="20" spans="1:17" ht="12.75">
      <c r="A20" s="8">
        <v>8</v>
      </c>
      <c r="B20" s="19" t="s">
        <v>480</v>
      </c>
      <c r="C20" s="323">
        <f>1877.36*'enrolment vs availed_UPY'!G18/165953</f>
        <v>221.31971726934734</v>
      </c>
      <c r="D20" s="323">
        <f t="shared" si="0"/>
        <v>24.550342566871343</v>
      </c>
      <c r="E20" s="323">
        <f t="shared" si="1"/>
        <v>245.87005983621867</v>
      </c>
      <c r="F20" s="323">
        <f t="shared" si="2"/>
        <v>25.394544262532165</v>
      </c>
      <c r="G20" s="323">
        <f t="shared" si="3"/>
        <v>3.321516935517888</v>
      </c>
      <c r="H20" s="323">
        <f t="shared" si="4"/>
        <v>28.716061198050053</v>
      </c>
      <c r="I20" s="323">
        <f t="shared" si="5"/>
        <v>186.99780786126192</v>
      </c>
      <c r="J20" s="323">
        <f t="shared" si="6"/>
        <v>20.851227805462997</v>
      </c>
      <c r="K20" s="323">
        <f t="shared" si="7"/>
        <v>207.84903566672492</v>
      </c>
      <c r="L20" s="323">
        <f>(('enrolment vs availed_UPY'!L18*45*6.04)/100000)+(('enrolment vs availed_UPY'!L18*116*6.04)/100000)</f>
        <v>143.094546</v>
      </c>
      <c r="M20" s="323">
        <f>(('enrolment vs availed_UPY'!L18*45*0.67)/100000)+(('enrolment vs availed_UPY'!L18*116*0.67)/100000)</f>
        <v>15.8730705</v>
      </c>
      <c r="N20" s="323">
        <f t="shared" si="8"/>
        <v>158.96761650000002</v>
      </c>
      <c r="O20" s="323">
        <f t="shared" si="9"/>
        <v>69.29780612379406</v>
      </c>
      <c r="P20" s="323">
        <f t="shared" si="10"/>
        <v>8.299674240980885</v>
      </c>
      <c r="Q20" s="323">
        <f t="shared" si="11"/>
        <v>77.59748036477495</v>
      </c>
    </row>
    <row r="21" spans="1:25" ht="12.75">
      <c r="A21" s="3"/>
      <c r="B21" s="27" t="s">
        <v>481</v>
      </c>
      <c r="C21" s="323">
        <f>SUM(C13:C20)</f>
        <v>1877.36</v>
      </c>
      <c r="D21" s="323">
        <f aca="true" t="shared" si="12" ref="D21:Q21">SUM(D13:D20)</f>
        <v>208.25</v>
      </c>
      <c r="E21" s="323">
        <f t="shared" si="12"/>
        <v>2085.61</v>
      </c>
      <c r="F21" s="323">
        <f t="shared" si="12"/>
        <v>215.411</v>
      </c>
      <c r="G21" s="323">
        <f t="shared" si="12"/>
        <v>28.175000000000004</v>
      </c>
      <c r="H21" s="323">
        <f t="shared" si="12"/>
        <v>243.58599999999998</v>
      </c>
      <c r="I21" s="323">
        <f t="shared" si="12"/>
        <v>1586.222</v>
      </c>
      <c r="J21" s="323">
        <f t="shared" si="12"/>
        <v>176.87200000000004</v>
      </c>
      <c r="K21" s="323">
        <f t="shared" si="12"/>
        <v>1763.0939999999998</v>
      </c>
      <c r="L21" s="323">
        <f t="shared" si="12"/>
        <v>1209.6861868</v>
      </c>
      <c r="M21" s="323">
        <f t="shared" si="12"/>
        <v>134.18704390000002</v>
      </c>
      <c r="N21" s="323">
        <f t="shared" si="12"/>
        <v>1343.8732307</v>
      </c>
      <c r="O21" s="323">
        <f t="shared" si="12"/>
        <v>591.9468132000001</v>
      </c>
      <c r="P21" s="323">
        <f t="shared" si="12"/>
        <v>70.85995610000003</v>
      </c>
      <c r="Q21" s="323">
        <f t="shared" si="12"/>
        <v>662.8067693000002</v>
      </c>
      <c r="S21" s="430"/>
      <c r="U21" s="431"/>
      <c r="V21" s="433"/>
      <c r="X21" s="433"/>
      <c r="Y21" s="433"/>
    </row>
    <row r="22" spans="1:17" ht="12.75">
      <c r="A22" s="12"/>
      <c r="B22" s="28"/>
      <c r="C22" s="28"/>
      <c r="D22" s="28"/>
      <c r="E22" s="21"/>
      <c r="F22" s="21" t="s">
        <v>11</v>
      </c>
      <c r="G22" s="21"/>
      <c r="H22" s="21"/>
      <c r="I22" s="21"/>
      <c r="J22" s="21" t="s">
        <v>11</v>
      </c>
      <c r="K22" s="21"/>
      <c r="L22" s="21"/>
      <c r="M22" s="21" t="s">
        <v>11</v>
      </c>
      <c r="N22" s="21"/>
      <c r="O22" s="21"/>
      <c r="P22" s="21"/>
      <c r="Q22" s="21"/>
    </row>
    <row r="23" spans="1:17" ht="14.25" customHeight="1">
      <c r="A23" s="830" t="s">
        <v>368</v>
      </c>
      <c r="B23" s="830"/>
      <c r="C23" s="830"/>
      <c r="D23" s="830"/>
      <c r="E23" s="830"/>
      <c r="F23" s="830"/>
      <c r="G23" s="830"/>
      <c r="H23" s="830"/>
      <c r="I23" s="830"/>
      <c r="J23" s="830"/>
      <c r="K23" s="830"/>
      <c r="L23" s="830"/>
      <c r="M23" s="830"/>
      <c r="N23" s="830"/>
      <c r="O23" s="830"/>
      <c r="P23" s="830"/>
      <c r="Q23" s="830"/>
    </row>
    <row r="24" spans="1:24" ht="15.75" customHeight="1">
      <c r="A24" s="277"/>
      <c r="B24" s="831"/>
      <c r="C24" s="831"/>
      <c r="D24" s="831"/>
      <c r="E24" s="831"/>
      <c r="F24" s="831"/>
      <c r="G24" s="831"/>
      <c r="H24" s="831"/>
      <c r="I24" s="831"/>
      <c r="J24" s="831"/>
      <c r="K24" s="831"/>
      <c r="L24" s="831"/>
      <c r="M24" s="831"/>
      <c r="N24" s="831"/>
      <c r="O24" s="627"/>
      <c r="P24" s="627"/>
      <c r="Q24" s="43" t="s">
        <v>11</v>
      </c>
      <c r="X24" s="16" t="s">
        <v>11</v>
      </c>
    </row>
    <row r="25" spans="1:17" ht="12.75">
      <c r="A25" s="15" t="s">
        <v>12</v>
      </c>
      <c r="B25" s="15"/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O25" s="699"/>
      <c r="P25" s="699"/>
      <c r="Q25" s="699"/>
    </row>
    <row r="26" spans="2:17" ht="12.75" customHeight="1">
      <c r="B26" s="86"/>
      <c r="C26" s="480"/>
      <c r="D26" s="480"/>
      <c r="E26" s="489"/>
      <c r="F26" s="480"/>
      <c r="G26" s="489"/>
      <c r="H26" s="489"/>
      <c r="I26" s="480"/>
      <c r="J26" s="480"/>
      <c r="K26" s="489"/>
      <c r="L26" s="489"/>
      <c r="M26" s="489" t="s">
        <v>11</v>
      </c>
      <c r="N26" s="86"/>
      <c r="O26" s="699" t="s">
        <v>1062</v>
      </c>
      <c r="P26" s="699"/>
      <c r="Q26" s="699"/>
    </row>
    <row r="27" spans="2:18" ht="12.75" customHeight="1">
      <c r="B27" s="86"/>
      <c r="C27" s="480"/>
      <c r="D27" s="480"/>
      <c r="E27" s="489"/>
      <c r="F27" s="480"/>
      <c r="G27" s="489"/>
      <c r="H27" s="489"/>
      <c r="I27" s="480"/>
      <c r="J27" s="480"/>
      <c r="K27" s="489"/>
      <c r="L27" s="489"/>
      <c r="M27" s="489"/>
      <c r="N27" s="86"/>
      <c r="O27" s="699" t="s">
        <v>485</v>
      </c>
      <c r="P27" s="699"/>
      <c r="Q27" s="699"/>
      <c r="R27" s="415"/>
    </row>
    <row r="28" spans="1:18" ht="12.75">
      <c r="A28" s="15"/>
      <c r="B28" s="15"/>
      <c r="C28" s="480"/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O28" s="824" t="s">
        <v>541</v>
      </c>
      <c r="P28" s="824"/>
      <c r="Q28" s="824"/>
      <c r="R28" s="824"/>
    </row>
    <row r="29" spans="3:13" ht="12.75">
      <c r="C29" s="480"/>
      <c r="D29" s="480"/>
      <c r="E29" s="480"/>
      <c r="F29" s="480"/>
      <c r="G29" s="480"/>
      <c r="H29" s="480"/>
      <c r="I29" s="480"/>
      <c r="J29" s="480"/>
      <c r="K29" s="480"/>
      <c r="L29" s="480"/>
      <c r="M29" s="480"/>
    </row>
    <row r="30" spans="3:13" ht="12.75">
      <c r="C30" s="480"/>
      <c r="D30" s="480"/>
      <c r="E30" s="480"/>
      <c r="F30" s="480"/>
      <c r="G30" s="480"/>
      <c r="H30" s="480"/>
      <c r="I30" s="480"/>
      <c r="J30" s="480"/>
      <c r="K30" s="480"/>
      <c r="L30" s="480" t="s">
        <v>11</v>
      </c>
      <c r="M30" s="480"/>
    </row>
    <row r="31" spans="3:13" ht="12.75">
      <c r="C31" s="480"/>
      <c r="D31" s="480"/>
      <c r="E31" s="480"/>
      <c r="F31" s="480"/>
      <c r="G31" s="480"/>
      <c r="H31" s="480"/>
      <c r="I31" s="480"/>
      <c r="J31" s="480"/>
      <c r="K31" s="480"/>
      <c r="L31" s="480"/>
      <c r="M31" s="480"/>
    </row>
    <row r="32" spans="3:13" ht="12.75">
      <c r="C32" s="480"/>
      <c r="D32" s="480"/>
      <c r="E32" s="480"/>
      <c r="F32" s="480"/>
      <c r="G32" s="480"/>
      <c r="H32" s="490"/>
      <c r="I32" s="480"/>
      <c r="J32" s="480"/>
      <c r="K32" s="480"/>
      <c r="L32" s="490"/>
      <c r="M32" s="480"/>
    </row>
    <row r="33" spans="3:13" ht="12.75">
      <c r="C33" s="480"/>
      <c r="D33" s="480"/>
      <c r="E33" s="480"/>
      <c r="F33" s="480"/>
      <c r="G33" s="480"/>
      <c r="H33" s="490"/>
      <c r="I33" s="480"/>
      <c r="J33" s="480"/>
      <c r="K33" s="480"/>
      <c r="L33" s="490"/>
      <c r="M33" s="480"/>
    </row>
    <row r="34" spans="8:12" ht="12.75">
      <c r="H34" s="339"/>
      <c r="L34" s="339"/>
    </row>
    <row r="35" spans="8:12" ht="12.75">
      <c r="H35" s="339"/>
      <c r="L35" s="339"/>
    </row>
    <row r="36" spans="8:12" ht="12.75">
      <c r="H36" s="339"/>
      <c r="L36" s="339"/>
    </row>
    <row r="37" spans="8:12" ht="12.75">
      <c r="H37" s="339"/>
      <c r="L37" s="339"/>
    </row>
    <row r="38" spans="8:12" ht="12.75">
      <c r="H38" s="339"/>
      <c r="L38" s="339"/>
    </row>
    <row r="39" spans="8:12" ht="12.75">
      <c r="H39" s="339"/>
      <c r="L39" s="339"/>
    </row>
    <row r="40" spans="8:12" ht="12.75">
      <c r="H40" s="339"/>
      <c r="L40" s="339"/>
    </row>
  </sheetData>
  <sheetProtection/>
  <mergeCells count="20">
    <mergeCell ref="O27:Q27"/>
    <mergeCell ref="O28:R28"/>
    <mergeCell ref="A23:Q23"/>
    <mergeCell ref="B24:N24"/>
    <mergeCell ref="B10:B11"/>
    <mergeCell ref="C10:E10"/>
    <mergeCell ref="F10:H10"/>
    <mergeCell ref="I10:K10"/>
    <mergeCell ref="O25:Q25"/>
    <mergeCell ref="O26:Q26"/>
    <mergeCell ref="L10:N10"/>
    <mergeCell ref="O10:Q10"/>
    <mergeCell ref="A8:B8"/>
    <mergeCell ref="A6:Q6"/>
    <mergeCell ref="R1:R10"/>
    <mergeCell ref="P1:Q1"/>
    <mergeCell ref="A2:Q2"/>
    <mergeCell ref="A3:Q3"/>
    <mergeCell ref="N9:Q9"/>
    <mergeCell ref="A10:A11"/>
  </mergeCells>
  <printOptions horizontalCentered="1"/>
  <pageMargins left="0.55" right="0.27" top="1.3" bottom="0" header="0.85" footer="0.31496062992125984"/>
  <pageSetup fitToHeight="1" fitToWidth="1" horizontalDpi="600" verticalDpi="600" orientation="landscape" paperSize="9" scale="8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view="pageBreakPreview" zoomScale="80" zoomScaleSheetLayoutView="80" zoomScalePageLayoutView="0" workbookViewId="0" topLeftCell="A1">
      <selection activeCell="Q24" sqref="Q24"/>
    </sheetView>
  </sheetViews>
  <sheetFormatPr defaultColWidth="9.140625" defaultRowHeight="12.75"/>
  <cols>
    <col min="1" max="1" width="4.7109375" style="0" customWidth="1"/>
    <col min="2" max="2" width="13.7109375" style="0" customWidth="1"/>
    <col min="3" max="3" width="14.7109375" style="0" customWidth="1"/>
    <col min="4" max="4" width="13.00390625" style="0" customWidth="1"/>
    <col min="5" max="5" width="12.421875" style="0" customWidth="1"/>
    <col min="6" max="6" width="9.28125" style="0" customWidth="1"/>
    <col min="7" max="7" width="11.57421875" style="0" customWidth="1"/>
    <col min="9" max="10" width="9.28125" style="0" bestFit="1" customWidth="1"/>
    <col min="11" max="11" width="10.421875" style="0" bestFit="1" customWidth="1"/>
    <col min="13" max="14" width="9.28125" style="0" bestFit="1" customWidth="1"/>
    <col min="15" max="15" width="10.421875" style="0" bestFit="1" customWidth="1"/>
    <col min="20" max="20" width="10.421875" style="0" customWidth="1"/>
    <col min="21" max="21" width="11.140625" style="0" customWidth="1"/>
    <col min="22" max="22" width="11.8515625" style="0" customWidth="1"/>
  </cols>
  <sheetData>
    <row r="1" spans="21:23" ht="15">
      <c r="U1" s="833" t="s">
        <v>61</v>
      </c>
      <c r="V1" s="833"/>
      <c r="W1" s="44"/>
    </row>
    <row r="3" spans="1:22" ht="15">
      <c r="A3" s="772" t="s">
        <v>0</v>
      </c>
      <c r="B3" s="772"/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772"/>
      <c r="T3" s="772"/>
      <c r="U3" s="772"/>
      <c r="V3" s="772"/>
    </row>
    <row r="4" spans="1:22" ht="20.25">
      <c r="A4" s="732" t="s">
        <v>878</v>
      </c>
      <c r="B4" s="732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732"/>
      <c r="N4" s="732"/>
      <c r="O4" s="732"/>
      <c r="P4" s="732"/>
      <c r="Q4" s="732"/>
      <c r="R4" s="732"/>
      <c r="S4" s="732"/>
      <c r="T4" s="732"/>
      <c r="U4" s="732"/>
      <c r="V4" s="732"/>
    </row>
    <row r="5" spans="1:17" ht="15.75">
      <c r="A5" s="834"/>
      <c r="B5" s="834"/>
      <c r="C5" s="834"/>
      <c r="D5" s="834"/>
      <c r="E5" s="834"/>
      <c r="F5" s="834"/>
      <c r="G5" s="834"/>
      <c r="H5" s="834"/>
      <c r="I5" s="834"/>
      <c r="J5" s="834"/>
      <c r="K5" s="834"/>
      <c r="L5" s="834"/>
      <c r="M5" s="834"/>
      <c r="N5" s="834"/>
      <c r="O5" s="834"/>
      <c r="P5" s="834"/>
      <c r="Q5" s="834"/>
    </row>
    <row r="6" spans="1:22" ht="15.75">
      <c r="A6" s="702" t="s">
        <v>905</v>
      </c>
      <c r="B6" s="702"/>
      <c r="C6" s="702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  <c r="S6" s="702"/>
      <c r="T6" s="702"/>
      <c r="U6" s="702"/>
      <c r="V6" s="702"/>
    </row>
    <row r="7" spans="1:21" ht="12.75">
      <c r="A7" s="31"/>
      <c r="B7" s="31"/>
      <c r="C7" s="149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U7" s="31"/>
    </row>
    <row r="9" spans="1:24" ht="15.75">
      <c r="A9" s="15" t="s">
        <v>472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U9" s="31" t="s">
        <v>218</v>
      </c>
      <c r="V9" s="31"/>
      <c r="W9" s="31"/>
      <c r="X9" s="31"/>
    </row>
    <row r="10" spans="19:22" ht="12.75">
      <c r="S10" s="776" t="s">
        <v>929</v>
      </c>
      <c r="T10" s="776"/>
      <c r="U10" s="776"/>
      <c r="V10" s="776"/>
    </row>
    <row r="11" spans="1:22" s="270" customFormat="1" ht="28.5" customHeight="1">
      <c r="A11" s="708" t="s">
        <v>494</v>
      </c>
      <c r="B11" s="708" t="s">
        <v>197</v>
      </c>
      <c r="C11" s="708" t="s">
        <v>372</v>
      </c>
      <c r="D11" s="708" t="s">
        <v>373</v>
      </c>
      <c r="E11" s="677" t="s">
        <v>906</v>
      </c>
      <c r="F11" s="677"/>
      <c r="G11" s="677"/>
      <c r="H11" s="664" t="s">
        <v>937</v>
      </c>
      <c r="I11" s="775"/>
      <c r="J11" s="665"/>
      <c r="K11" s="717" t="s">
        <v>375</v>
      </c>
      <c r="L11" s="718"/>
      <c r="M11" s="829"/>
      <c r="N11" s="727" t="s">
        <v>156</v>
      </c>
      <c r="O11" s="728"/>
      <c r="P11" s="729"/>
      <c r="Q11" s="674" t="s">
        <v>926</v>
      </c>
      <c r="R11" s="674"/>
      <c r="S11" s="674"/>
      <c r="T11" s="708" t="s">
        <v>244</v>
      </c>
      <c r="U11" s="708" t="s">
        <v>424</v>
      </c>
      <c r="V11" s="708" t="s">
        <v>376</v>
      </c>
    </row>
    <row r="12" spans="1:22" s="270" customFormat="1" ht="48.75" customHeight="1">
      <c r="A12" s="710"/>
      <c r="B12" s="710"/>
      <c r="C12" s="710"/>
      <c r="D12" s="710"/>
      <c r="E12" s="257" t="s">
        <v>174</v>
      </c>
      <c r="F12" s="257" t="s">
        <v>198</v>
      </c>
      <c r="G12" s="257" t="s">
        <v>16</v>
      </c>
      <c r="H12" s="257" t="s">
        <v>174</v>
      </c>
      <c r="I12" s="257" t="s">
        <v>198</v>
      </c>
      <c r="J12" s="257" t="s">
        <v>16</v>
      </c>
      <c r="K12" s="257" t="s">
        <v>174</v>
      </c>
      <c r="L12" s="257" t="s">
        <v>198</v>
      </c>
      <c r="M12" s="257" t="s">
        <v>16</v>
      </c>
      <c r="N12" s="257" t="s">
        <v>174</v>
      </c>
      <c r="O12" s="257" t="s">
        <v>198</v>
      </c>
      <c r="P12" s="257" t="s">
        <v>16</v>
      </c>
      <c r="Q12" s="257" t="s">
        <v>231</v>
      </c>
      <c r="R12" s="257" t="s">
        <v>210</v>
      </c>
      <c r="S12" s="257" t="s">
        <v>211</v>
      </c>
      <c r="T12" s="710"/>
      <c r="U12" s="710"/>
      <c r="V12" s="710"/>
    </row>
    <row r="13" spans="1:22" ht="12.75">
      <c r="A13" s="148">
        <v>1</v>
      </c>
      <c r="B13" s="107">
        <v>2</v>
      </c>
      <c r="C13" s="8">
        <v>3</v>
      </c>
      <c r="D13" s="107">
        <v>4</v>
      </c>
      <c r="E13" s="107">
        <v>5</v>
      </c>
      <c r="F13" s="8">
        <v>6</v>
      </c>
      <c r="G13" s="107">
        <v>7</v>
      </c>
      <c r="H13" s="107">
        <v>8</v>
      </c>
      <c r="I13" s="8">
        <v>9</v>
      </c>
      <c r="J13" s="107">
        <v>10</v>
      </c>
      <c r="K13" s="107">
        <v>11</v>
      </c>
      <c r="L13" s="8">
        <v>12</v>
      </c>
      <c r="M13" s="107">
        <v>13</v>
      </c>
      <c r="N13" s="107">
        <v>14</v>
      </c>
      <c r="O13" s="8">
        <v>15</v>
      </c>
      <c r="P13" s="107">
        <v>16</v>
      </c>
      <c r="Q13" s="107">
        <v>17</v>
      </c>
      <c r="R13" s="8">
        <v>18</v>
      </c>
      <c r="S13" s="107">
        <v>19</v>
      </c>
      <c r="T13" s="107">
        <v>20</v>
      </c>
      <c r="U13" s="8">
        <v>21</v>
      </c>
      <c r="V13" s="107">
        <v>22</v>
      </c>
    </row>
    <row r="14" spans="1:23" ht="18.75" customHeight="1">
      <c r="A14" s="8">
        <v>1</v>
      </c>
      <c r="B14" s="19" t="s">
        <v>473</v>
      </c>
      <c r="C14" s="9">
        <v>1213</v>
      </c>
      <c r="D14" s="382">
        <v>1209</v>
      </c>
      <c r="E14" s="343">
        <f>C14*9000/100000</f>
        <v>109.17</v>
      </c>
      <c r="F14" s="343">
        <f>C14*6000/100000</f>
        <v>72.78</v>
      </c>
      <c r="G14" s="343">
        <f>SUM(E14:F14)</f>
        <v>181.95</v>
      </c>
      <c r="H14" s="343">
        <f>1.198*D14/7307</f>
        <v>0.19821842069248663</v>
      </c>
      <c r="I14" s="343">
        <f>0.51*D14/7307</f>
        <v>0.08438346790748598</v>
      </c>
      <c r="J14" s="343">
        <f>SUM(H14:I14)</f>
        <v>0.2826018885999726</v>
      </c>
      <c r="K14" s="343">
        <f>657.76*E14/660.06</f>
        <v>108.78959367330243</v>
      </c>
      <c r="L14" s="323">
        <f>437.219*F14/440.04</f>
        <v>72.31342337060266</v>
      </c>
      <c r="M14" s="343">
        <f>SUM(K14:L14)</f>
        <v>181.10301704390508</v>
      </c>
      <c r="N14" s="343">
        <f>D14*900*7/100000</f>
        <v>76.167</v>
      </c>
      <c r="O14" s="343">
        <f>(D14*600*7/100000)</f>
        <v>50.778</v>
      </c>
      <c r="P14" s="343">
        <f>SUM(N14:O14)</f>
        <v>126.945</v>
      </c>
      <c r="Q14" s="343">
        <f>(H14+K14)-N14</f>
        <v>32.82081209399492</v>
      </c>
      <c r="R14" s="343">
        <f>(I14+L14)-O14</f>
        <v>21.61980683851015</v>
      </c>
      <c r="S14" s="343">
        <f>(J14+M14)-P14</f>
        <v>54.44061893250506</v>
      </c>
      <c r="T14" s="835" t="s">
        <v>508</v>
      </c>
      <c r="U14" s="9">
        <f>D14</f>
        <v>1209</v>
      </c>
      <c r="V14" s="9">
        <f>U14</f>
        <v>1209</v>
      </c>
      <c r="W14" s="21"/>
    </row>
    <row r="15" spans="1:23" ht="18.75" customHeight="1">
      <c r="A15" s="8">
        <v>2</v>
      </c>
      <c r="B15" s="19" t="s">
        <v>474</v>
      </c>
      <c r="C15" s="9">
        <v>1004</v>
      </c>
      <c r="D15" s="382">
        <v>1000</v>
      </c>
      <c r="E15" s="343">
        <f aca="true" t="shared" si="0" ref="E15:E21">C15*9000/100000</f>
        <v>90.36</v>
      </c>
      <c r="F15" s="343">
        <f aca="true" t="shared" si="1" ref="F15:F21">C15*6000/100000</f>
        <v>60.24</v>
      </c>
      <c r="G15" s="343">
        <f aca="true" t="shared" si="2" ref="G15:G21">SUM(E15:F15)</f>
        <v>150.6</v>
      </c>
      <c r="H15" s="343">
        <f aca="true" t="shared" si="3" ref="H15:H21">1.198*D15/7307</f>
        <v>0.16395237443547284</v>
      </c>
      <c r="I15" s="343">
        <f aca="true" t="shared" si="4" ref="I15:I21">0.51*D15/7307</f>
        <v>0.06979608594498427</v>
      </c>
      <c r="J15" s="343">
        <f aca="true" t="shared" si="5" ref="J15:J21">SUM(H15:I15)</f>
        <v>0.2337484603804571</v>
      </c>
      <c r="K15" s="343">
        <f aca="true" t="shared" si="6" ref="K15:K21">657.76*E15/660.06</f>
        <v>90.04513771475321</v>
      </c>
      <c r="L15" s="323">
        <f aca="true" t="shared" si="7" ref="L15:L21">437.219*F15/440.04</f>
        <v>59.853814562312515</v>
      </c>
      <c r="M15" s="343">
        <f aca="true" t="shared" si="8" ref="M15:M21">SUM(K15:L15)</f>
        <v>149.89895227706572</v>
      </c>
      <c r="N15" s="343">
        <f aca="true" t="shared" si="9" ref="N15:N21">D15*900*7/100000</f>
        <v>63</v>
      </c>
      <c r="O15" s="343">
        <f aca="true" t="shared" si="10" ref="O15:O21">(D15*600*7/100000)</f>
        <v>42</v>
      </c>
      <c r="P15" s="343">
        <f aca="true" t="shared" si="11" ref="P15:P21">SUM(N15:O15)</f>
        <v>105</v>
      </c>
      <c r="Q15" s="343">
        <f aca="true" t="shared" si="12" ref="Q15:Q21">(H15+K15)-N15</f>
        <v>27.209090089188678</v>
      </c>
      <c r="R15" s="343">
        <f aca="true" t="shared" si="13" ref="R15:R21">(I15+L15)-O15</f>
        <v>17.9236106482575</v>
      </c>
      <c r="S15" s="343">
        <f aca="true" t="shared" si="14" ref="S15:S21">(J15+M15)-P15</f>
        <v>45.132700737446186</v>
      </c>
      <c r="T15" s="836"/>
      <c r="U15" s="9">
        <f aca="true" t="shared" si="15" ref="U15:U21">D15</f>
        <v>1000</v>
      </c>
      <c r="V15" s="9">
        <f aca="true" t="shared" si="16" ref="V15:V21">U15</f>
        <v>1000</v>
      </c>
      <c r="W15" s="21"/>
    </row>
    <row r="16" spans="1:23" ht="18.75" customHeight="1">
      <c r="A16" s="8">
        <v>3</v>
      </c>
      <c r="B16" s="19" t="s">
        <v>475</v>
      </c>
      <c r="C16" s="9">
        <v>656</v>
      </c>
      <c r="D16" s="382">
        <v>654</v>
      </c>
      <c r="E16" s="343">
        <f t="shared" si="0"/>
        <v>59.04</v>
      </c>
      <c r="F16" s="343">
        <f t="shared" si="1"/>
        <v>39.36</v>
      </c>
      <c r="G16" s="343">
        <f t="shared" si="2"/>
        <v>98.4</v>
      </c>
      <c r="H16" s="343">
        <f t="shared" si="3"/>
        <v>0.10722485288079923</v>
      </c>
      <c r="I16" s="343">
        <f t="shared" si="4"/>
        <v>0.04564664020801971</v>
      </c>
      <c r="J16" s="343">
        <f t="shared" si="5"/>
        <v>0.15287149308881895</v>
      </c>
      <c r="K16" s="343">
        <f t="shared" si="6"/>
        <v>58.83427324788656</v>
      </c>
      <c r="L16" s="323">
        <f t="shared" si="7"/>
        <v>39.107671666212156</v>
      </c>
      <c r="M16" s="343">
        <f t="shared" si="8"/>
        <v>97.94194491409871</v>
      </c>
      <c r="N16" s="343">
        <f t="shared" si="9"/>
        <v>41.202</v>
      </c>
      <c r="O16" s="343">
        <f t="shared" si="10"/>
        <v>27.468</v>
      </c>
      <c r="P16" s="343">
        <f t="shared" si="11"/>
        <v>68.67</v>
      </c>
      <c r="Q16" s="343">
        <f t="shared" si="12"/>
        <v>17.739498100767356</v>
      </c>
      <c r="R16" s="343">
        <f t="shared" si="13"/>
        <v>11.685318306420175</v>
      </c>
      <c r="S16" s="343">
        <f t="shared" si="14"/>
        <v>29.424816407187535</v>
      </c>
      <c r="T16" s="836"/>
      <c r="U16" s="9">
        <f t="shared" si="15"/>
        <v>654</v>
      </c>
      <c r="V16" s="9">
        <f t="shared" si="16"/>
        <v>654</v>
      </c>
      <c r="W16" s="21"/>
    </row>
    <row r="17" spans="1:23" ht="18.75" customHeight="1">
      <c r="A17" s="8">
        <v>4</v>
      </c>
      <c r="B17" s="19" t="s">
        <v>476</v>
      </c>
      <c r="C17" s="9">
        <v>812</v>
      </c>
      <c r="D17" s="382">
        <v>809</v>
      </c>
      <c r="E17" s="343">
        <f t="shared" si="0"/>
        <v>73.08</v>
      </c>
      <c r="F17" s="343">
        <f t="shared" si="1"/>
        <v>48.72</v>
      </c>
      <c r="G17" s="343">
        <f t="shared" si="2"/>
        <v>121.8</v>
      </c>
      <c r="H17" s="343">
        <f t="shared" si="3"/>
        <v>0.13263747091829753</v>
      </c>
      <c r="I17" s="343">
        <f t="shared" si="4"/>
        <v>0.056465033529492274</v>
      </c>
      <c r="J17" s="343">
        <f t="shared" si="5"/>
        <v>0.1891025044477898</v>
      </c>
      <c r="K17" s="343">
        <f t="shared" si="6"/>
        <v>72.82535042268886</v>
      </c>
      <c r="L17" s="323">
        <f t="shared" si="7"/>
        <v>48.40766675756749</v>
      </c>
      <c r="M17" s="343">
        <f t="shared" si="8"/>
        <v>121.23301718025635</v>
      </c>
      <c r="N17" s="343">
        <f t="shared" si="9"/>
        <v>50.967</v>
      </c>
      <c r="O17" s="343">
        <f t="shared" si="10"/>
        <v>33.978</v>
      </c>
      <c r="P17" s="343">
        <f t="shared" si="11"/>
        <v>84.945</v>
      </c>
      <c r="Q17" s="343">
        <f t="shared" si="12"/>
        <v>21.990987893607155</v>
      </c>
      <c r="R17" s="343">
        <f t="shared" si="13"/>
        <v>14.48613179109698</v>
      </c>
      <c r="S17" s="343">
        <f t="shared" si="14"/>
        <v>36.47711968470415</v>
      </c>
      <c r="T17" s="836"/>
      <c r="U17" s="9">
        <f t="shared" si="15"/>
        <v>809</v>
      </c>
      <c r="V17" s="9">
        <f t="shared" si="16"/>
        <v>809</v>
      </c>
      <c r="W17" s="21"/>
    </row>
    <row r="18" spans="1:23" ht="18.75" customHeight="1">
      <c r="A18" s="8">
        <v>5</v>
      </c>
      <c r="B18" s="19" t="s">
        <v>477</v>
      </c>
      <c r="C18" s="9">
        <v>946</v>
      </c>
      <c r="D18" s="382">
        <v>942</v>
      </c>
      <c r="E18" s="343">
        <f t="shared" si="0"/>
        <v>85.14</v>
      </c>
      <c r="F18" s="343">
        <f t="shared" si="1"/>
        <v>56.76</v>
      </c>
      <c r="G18" s="343">
        <f t="shared" si="2"/>
        <v>141.9</v>
      </c>
      <c r="H18" s="343">
        <f t="shared" si="3"/>
        <v>0.15444313671821538</v>
      </c>
      <c r="I18" s="343">
        <f t="shared" si="4"/>
        <v>0.06574791296017518</v>
      </c>
      <c r="J18" s="343">
        <f t="shared" si="5"/>
        <v>0.22019104967839057</v>
      </c>
      <c r="K18" s="343">
        <f t="shared" si="6"/>
        <v>84.84332697027544</v>
      </c>
      <c r="L18" s="323">
        <f t="shared" si="7"/>
        <v>56.39612407962912</v>
      </c>
      <c r="M18" s="343">
        <f t="shared" si="8"/>
        <v>141.23945104990457</v>
      </c>
      <c r="N18" s="343">
        <f t="shared" si="9"/>
        <v>59.346</v>
      </c>
      <c r="O18" s="343">
        <f t="shared" si="10"/>
        <v>39.564</v>
      </c>
      <c r="P18" s="343">
        <f t="shared" si="11"/>
        <v>98.91</v>
      </c>
      <c r="Q18" s="343">
        <f t="shared" si="12"/>
        <v>25.65177010699366</v>
      </c>
      <c r="R18" s="343">
        <f t="shared" si="13"/>
        <v>16.897871992589295</v>
      </c>
      <c r="S18" s="343">
        <f t="shared" si="14"/>
        <v>42.54964209958297</v>
      </c>
      <c r="T18" s="836"/>
      <c r="U18" s="9">
        <f t="shared" si="15"/>
        <v>942</v>
      </c>
      <c r="V18" s="9">
        <f t="shared" si="16"/>
        <v>942</v>
      </c>
      <c r="W18" s="21"/>
    </row>
    <row r="19" spans="1:23" ht="18.75" customHeight="1">
      <c r="A19" s="8">
        <v>6</v>
      </c>
      <c r="B19" s="19" t="s">
        <v>478</v>
      </c>
      <c r="C19" s="9">
        <v>621</v>
      </c>
      <c r="D19" s="382">
        <v>619</v>
      </c>
      <c r="E19" s="343">
        <f t="shared" si="0"/>
        <v>55.89</v>
      </c>
      <c r="F19" s="343">
        <f t="shared" si="1"/>
        <v>37.26</v>
      </c>
      <c r="G19" s="343">
        <f t="shared" si="2"/>
        <v>93.15</v>
      </c>
      <c r="H19" s="343">
        <f t="shared" si="3"/>
        <v>0.10148651977555768</v>
      </c>
      <c r="I19" s="343">
        <f t="shared" si="4"/>
        <v>0.04320377719994526</v>
      </c>
      <c r="J19" s="343">
        <f t="shared" si="5"/>
        <v>0.14469029697550295</v>
      </c>
      <c r="K19" s="343">
        <f t="shared" si="6"/>
        <v>55.695249522770666</v>
      </c>
      <c r="L19" s="323">
        <f t="shared" si="7"/>
        <v>37.02113430597218</v>
      </c>
      <c r="M19" s="343">
        <f t="shared" si="8"/>
        <v>92.71638382874285</v>
      </c>
      <c r="N19" s="343">
        <f t="shared" si="9"/>
        <v>38.997</v>
      </c>
      <c r="O19" s="343">
        <f t="shared" si="10"/>
        <v>25.998</v>
      </c>
      <c r="P19" s="343">
        <f t="shared" si="11"/>
        <v>64.995</v>
      </c>
      <c r="Q19" s="343">
        <f t="shared" si="12"/>
        <v>16.799736042546222</v>
      </c>
      <c r="R19" s="343">
        <f t="shared" si="13"/>
        <v>11.066338083172123</v>
      </c>
      <c r="S19" s="343">
        <f t="shared" si="14"/>
        <v>27.86607412571834</v>
      </c>
      <c r="T19" s="836"/>
      <c r="U19" s="9">
        <f t="shared" si="15"/>
        <v>619</v>
      </c>
      <c r="V19" s="9">
        <f t="shared" si="16"/>
        <v>619</v>
      </c>
      <c r="W19" s="21"/>
    </row>
    <row r="20" spans="1:23" ht="18.75" customHeight="1">
      <c r="A20" s="8">
        <v>7</v>
      </c>
      <c r="B20" s="19" t="s">
        <v>479</v>
      </c>
      <c r="C20" s="9">
        <v>966</v>
      </c>
      <c r="D20" s="382">
        <v>962</v>
      </c>
      <c r="E20" s="343">
        <f t="shared" si="0"/>
        <v>86.94</v>
      </c>
      <c r="F20" s="343">
        <f t="shared" si="1"/>
        <v>57.96</v>
      </c>
      <c r="G20" s="343">
        <f t="shared" si="2"/>
        <v>144.9</v>
      </c>
      <c r="H20" s="343">
        <f t="shared" si="3"/>
        <v>0.15772218420692485</v>
      </c>
      <c r="I20" s="343">
        <f t="shared" si="4"/>
        <v>0.06714383467907487</v>
      </c>
      <c r="J20" s="343">
        <f t="shared" si="5"/>
        <v>0.22486601888599972</v>
      </c>
      <c r="K20" s="343">
        <f t="shared" si="6"/>
        <v>86.6370548131988</v>
      </c>
      <c r="L20" s="323">
        <f t="shared" si="7"/>
        <v>57.5884311426234</v>
      </c>
      <c r="M20" s="343">
        <f t="shared" si="8"/>
        <v>144.2254859558222</v>
      </c>
      <c r="N20" s="343">
        <f t="shared" si="9"/>
        <v>60.606</v>
      </c>
      <c r="O20" s="343">
        <f t="shared" si="10"/>
        <v>40.404</v>
      </c>
      <c r="P20" s="343">
        <f t="shared" si="11"/>
        <v>101.01</v>
      </c>
      <c r="Q20" s="343">
        <f t="shared" si="12"/>
        <v>26.188776997405718</v>
      </c>
      <c r="R20" s="343">
        <f t="shared" si="13"/>
        <v>17.251574977302468</v>
      </c>
      <c r="S20" s="343">
        <f t="shared" si="14"/>
        <v>43.44035197470818</v>
      </c>
      <c r="T20" s="836"/>
      <c r="U20" s="9">
        <f t="shared" si="15"/>
        <v>962</v>
      </c>
      <c r="V20" s="9">
        <f t="shared" si="16"/>
        <v>962</v>
      </c>
      <c r="W20" s="21"/>
    </row>
    <row r="21" spans="1:23" ht="18.75" customHeight="1">
      <c r="A21" s="8">
        <v>8</v>
      </c>
      <c r="B21" s="19" t="s">
        <v>480</v>
      </c>
      <c r="C21" s="9">
        <v>1116</v>
      </c>
      <c r="D21" s="382">
        <v>1112</v>
      </c>
      <c r="E21" s="343">
        <f t="shared" si="0"/>
        <v>100.44</v>
      </c>
      <c r="F21" s="343">
        <f t="shared" si="1"/>
        <v>66.96</v>
      </c>
      <c r="G21" s="343">
        <f t="shared" si="2"/>
        <v>167.39999999999998</v>
      </c>
      <c r="H21" s="343">
        <f t="shared" si="3"/>
        <v>0.18231504037224577</v>
      </c>
      <c r="I21" s="343">
        <f t="shared" si="4"/>
        <v>0.0776132475708225</v>
      </c>
      <c r="J21" s="343">
        <f t="shared" si="5"/>
        <v>0.25992828794306827</v>
      </c>
      <c r="K21" s="343">
        <f t="shared" si="6"/>
        <v>100.09001363512408</v>
      </c>
      <c r="L21" s="323">
        <f t="shared" si="7"/>
        <v>66.53073411508043</v>
      </c>
      <c r="M21" s="343">
        <f t="shared" si="8"/>
        <v>166.62074775020452</v>
      </c>
      <c r="N21" s="343">
        <f t="shared" si="9"/>
        <v>70.056</v>
      </c>
      <c r="O21" s="343">
        <f t="shared" si="10"/>
        <v>46.704</v>
      </c>
      <c r="P21" s="343">
        <f t="shared" si="11"/>
        <v>116.75999999999999</v>
      </c>
      <c r="Q21" s="343">
        <f t="shared" si="12"/>
        <v>30.216328675496328</v>
      </c>
      <c r="R21" s="343">
        <f t="shared" si="13"/>
        <v>19.904347362651258</v>
      </c>
      <c r="S21" s="343">
        <f t="shared" si="14"/>
        <v>50.12067603814759</v>
      </c>
      <c r="T21" s="837"/>
      <c r="U21" s="9">
        <f t="shared" si="15"/>
        <v>1112</v>
      </c>
      <c r="V21" s="9">
        <f t="shared" si="16"/>
        <v>1112</v>
      </c>
      <c r="W21" s="21"/>
    </row>
    <row r="22" spans="1:22" ht="18.75" customHeight="1">
      <c r="A22" s="3"/>
      <c r="B22" s="27" t="s">
        <v>481</v>
      </c>
      <c r="C22" s="9">
        <f>SUM(C14:C21)</f>
        <v>7334</v>
      </c>
      <c r="D22" s="9">
        <f aca="true" t="shared" si="17" ref="D22:V22">SUM(D14:D21)</f>
        <v>7307</v>
      </c>
      <c r="E22" s="343">
        <f t="shared" si="17"/>
        <v>660.06</v>
      </c>
      <c r="F22" s="343">
        <f t="shared" si="17"/>
        <v>440.03999999999996</v>
      </c>
      <c r="G22" s="343">
        <f t="shared" si="17"/>
        <v>1100.1</v>
      </c>
      <c r="H22" s="343">
        <f t="shared" si="17"/>
        <v>1.198</v>
      </c>
      <c r="I22" s="343">
        <f t="shared" si="17"/>
        <v>0.51</v>
      </c>
      <c r="J22" s="343">
        <f t="shared" si="17"/>
        <v>1.7079999999999997</v>
      </c>
      <c r="K22" s="343">
        <f t="shared" si="17"/>
        <v>657.76</v>
      </c>
      <c r="L22" s="343">
        <f t="shared" si="17"/>
        <v>437.21899999999994</v>
      </c>
      <c r="M22" s="343">
        <f t="shared" si="17"/>
        <v>1094.9790000000003</v>
      </c>
      <c r="N22" s="343">
        <f t="shared" si="17"/>
        <v>460.341</v>
      </c>
      <c r="O22" s="343">
        <f t="shared" si="17"/>
        <v>306.894</v>
      </c>
      <c r="P22" s="343">
        <f t="shared" si="17"/>
        <v>767.235</v>
      </c>
      <c r="Q22" s="343">
        <f t="shared" si="17"/>
        <v>198.61700000000002</v>
      </c>
      <c r="R22" s="343">
        <f t="shared" si="17"/>
        <v>130.83499999999995</v>
      </c>
      <c r="S22" s="343">
        <f t="shared" si="17"/>
        <v>329.452</v>
      </c>
      <c r="T22" s="9"/>
      <c r="U22" s="9">
        <f t="shared" si="17"/>
        <v>7307</v>
      </c>
      <c r="V22" s="9">
        <f t="shared" si="17"/>
        <v>7307</v>
      </c>
    </row>
    <row r="23" spans="3:4" ht="12.75">
      <c r="C23">
        <f>C22+'AT-8A_Hon_CCH_UPry'!C21</f>
        <v>11028</v>
      </c>
      <c r="D23">
        <f>D22+'AT-8A_Hon_CCH_UPry'!D21</f>
        <v>11011</v>
      </c>
    </row>
    <row r="24" spans="3:19" ht="12.75">
      <c r="C24" s="465"/>
      <c r="D24" s="629"/>
      <c r="E24" s="21" t="s">
        <v>11</v>
      </c>
      <c r="F24" s="13"/>
      <c r="G24" s="436">
        <f>G22+'AT-8A_Hon_CCH_UPry'!G21</f>
        <v>1654.1999999999998</v>
      </c>
      <c r="H24" s="13"/>
      <c r="I24" s="344"/>
      <c r="P24" s="344">
        <f>P22+'AT-8A_Hon_CCH_UPry'!P21</f>
        <v>1156.155</v>
      </c>
      <c r="Q24" s="650">
        <f>P24/G24</f>
        <v>0.6989209285455206</v>
      </c>
      <c r="S24" s="16" t="s">
        <v>11</v>
      </c>
    </row>
    <row r="25" spans="3:12" ht="12.75">
      <c r="C25" s="465"/>
      <c r="D25" s="629"/>
      <c r="E25" s="465"/>
      <c r="F25" s="465"/>
      <c r="G25" s="465"/>
      <c r="H25" s="465"/>
      <c r="I25" s="465"/>
      <c r="J25" s="28"/>
      <c r="K25" s="28"/>
      <c r="L25" s="28"/>
    </row>
    <row r="26" spans="1:22" ht="12.75" customHeight="1">
      <c r="A26" s="15" t="s">
        <v>12</v>
      </c>
      <c r="B26" s="15"/>
      <c r="C26" s="465"/>
      <c r="D26" s="629"/>
      <c r="E26" s="465"/>
      <c r="F26" s="465"/>
      <c r="G26" s="465"/>
      <c r="H26" s="465"/>
      <c r="I26" s="465"/>
      <c r="J26" s="28"/>
      <c r="K26" s="28"/>
      <c r="L26" s="28"/>
      <c r="M26" s="15"/>
      <c r="N26" s="16"/>
      <c r="O26" s="16"/>
      <c r="Q26" s="86"/>
      <c r="S26" s="699"/>
      <c r="T26" s="699"/>
      <c r="U26" s="699"/>
      <c r="V26" s="699"/>
    </row>
    <row r="27" spans="2:22" ht="12.75" customHeight="1">
      <c r="B27" s="86"/>
      <c r="C27" s="465"/>
      <c r="D27" s="629"/>
      <c r="E27" s="465"/>
      <c r="F27" s="465"/>
      <c r="G27" s="465"/>
      <c r="H27" s="465"/>
      <c r="I27" s="465"/>
      <c r="J27" s="28"/>
      <c r="K27" s="28"/>
      <c r="L27" s="28"/>
      <c r="M27" s="86"/>
      <c r="N27" s="86" t="s">
        <v>11</v>
      </c>
      <c r="O27" s="86"/>
      <c r="P27" s="86"/>
      <c r="Q27" s="86"/>
      <c r="S27" s="699" t="s">
        <v>1062</v>
      </c>
      <c r="T27" s="699"/>
      <c r="U27" s="699"/>
      <c r="V27" s="699"/>
    </row>
    <row r="28" spans="2:22" ht="12.75" customHeight="1">
      <c r="B28" s="86"/>
      <c r="C28" s="465"/>
      <c r="D28" s="629"/>
      <c r="E28" s="465"/>
      <c r="F28" s="465"/>
      <c r="G28" s="465"/>
      <c r="H28" s="465"/>
      <c r="I28" s="465"/>
      <c r="J28" s="420"/>
      <c r="K28" s="420"/>
      <c r="L28" s="28"/>
      <c r="M28" s="86"/>
      <c r="N28" s="86"/>
      <c r="O28" s="86"/>
      <c r="P28" s="86"/>
      <c r="Q28" s="86"/>
      <c r="S28" s="699" t="s">
        <v>485</v>
      </c>
      <c r="T28" s="699"/>
      <c r="U28" s="699"/>
      <c r="V28" s="699"/>
    </row>
    <row r="29" spans="3:21" ht="12.75">
      <c r="C29" s="465"/>
      <c r="D29" s="629"/>
      <c r="E29" s="465"/>
      <c r="F29" s="465"/>
      <c r="G29" s="465"/>
      <c r="H29" s="465"/>
      <c r="I29" s="465"/>
      <c r="J29" s="420"/>
      <c r="K29" s="420"/>
      <c r="L29" s="28"/>
      <c r="S29" s="668" t="s">
        <v>542</v>
      </c>
      <c r="T29" s="668"/>
      <c r="U29" s="668"/>
    </row>
    <row r="30" spans="3:12" ht="12.75">
      <c r="C30" s="465"/>
      <c r="D30" s="629"/>
      <c r="E30" s="465"/>
      <c r="F30" s="465"/>
      <c r="G30" s="465"/>
      <c r="H30" s="465"/>
      <c r="I30" s="465"/>
      <c r="J30" s="28"/>
      <c r="K30" s="28"/>
      <c r="L30" s="28"/>
    </row>
    <row r="31" spans="3:20" ht="12.75">
      <c r="C31" s="465"/>
      <c r="D31" s="629"/>
      <c r="E31" s="465"/>
      <c r="F31" s="465"/>
      <c r="G31" s="465"/>
      <c r="H31" s="465"/>
      <c r="I31" s="465"/>
      <c r="J31" s="28"/>
      <c r="K31" s="28"/>
      <c r="L31" s="28"/>
      <c r="S31" s="16"/>
      <c r="T31" s="16"/>
    </row>
    <row r="32" spans="3:14" ht="12.75">
      <c r="C32" s="465"/>
      <c r="D32" s="506"/>
      <c r="E32" s="465"/>
      <c r="F32" s="465"/>
      <c r="G32" s="465"/>
      <c r="H32" s="465"/>
      <c r="I32" s="465"/>
      <c r="J32" s="28"/>
      <c r="K32" s="28"/>
      <c r="L32" s="28"/>
      <c r="N32" s="16" t="s">
        <v>400</v>
      </c>
    </row>
    <row r="33" spans="3:16" ht="12.75">
      <c r="C33" s="465"/>
      <c r="D33" s="506"/>
      <c r="E33" s="465"/>
      <c r="F33" s="465"/>
      <c r="G33" s="465"/>
      <c r="H33" s="465"/>
      <c r="I33" s="465"/>
      <c r="J33" s="28"/>
      <c r="K33" s="28"/>
      <c r="L33" s="28"/>
      <c r="M33" s="347"/>
      <c r="N33" s="347"/>
      <c r="O33" s="344"/>
      <c r="P33" s="344"/>
    </row>
    <row r="34" spans="3:16" ht="12.75">
      <c r="C34" s="28"/>
      <c r="D34" s="506"/>
      <c r="E34" s="506"/>
      <c r="F34" s="465"/>
      <c r="G34" s="13"/>
      <c r="H34" s="13"/>
      <c r="I34" s="465"/>
      <c r="J34" s="465"/>
      <c r="K34" s="13"/>
      <c r="L34" s="13"/>
      <c r="M34" s="347"/>
      <c r="N34" s="347"/>
      <c r="O34" s="344"/>
      <c r="P34" s="344"/>
    </row>
    <row r="35" spans="3:16" ht="12.75">
      <c r="C35" s="28"/>
      <c r="D35" s="514"/>
      <c r="E35" s="506"/>
      <c r="F35" s="465"/>
      <c r="I35" s="347"/>
      <c r="J35" s="347"/>
      <c r="M35" s="347"/>
      <c r="N35" s="347"/>
      <c r="O35" s="344"/>
      <c r="P35" s="344"/>
    </row>
    <row r="36" spans="3:16" ht="12.75">
      <c r="C36" s="28"/>
      <c r="D36" s="514"/>
      <c r="E36" s="506"/>
      <c r="F36" s="465"/>
      <c r="I36" s="347"/>
      <c r="J36" s="347"/>
      <c r="M36" s="347"/>
      <c r="N36" s="347"/>
      <c r="O36" s="344"/>
      <c r="P36" s="344"/>
    </row>
    <row r="37" spans="3:16" ht="12.75">
      <c r="C37" s="28"/>
      <c r="D37" s="514"/>
      <c r="E37" s="506"/>
      <c r="F37" s="465"/>
      <c r="G37" s="13"/>
      <c r="H37" s="13"/>
      <c r="I37" s="465"/>
      <c r="J37" s="465"/>
      <c r="K37" s="347"/>
      <c r="M37" s="347"/>
      <c r="N37" s="347"/>
      <c r="O37" s="344"/>
      <c r="P37" s="344"/>
    </row>
    <row r="38" spans="3:16" ht="12.75">
      <c r="C38" s="28"/>
      <c r="D38" s="514"/>
      <c r="E38" s="514"/>
      <c r="F38" s="514"/>
      <c r="G38" s="13"/>
      <c r="H38" s="13"/>
      <c r="I38" s="465"/>
      <c r="J38" s="465"/>
      <c r="K38" s="347"/>
      <c r="M38" s="347"/>
      <c r="N38" s="347"/>
      <c r="O38" s="344"/>
      <c r="P38" s="344"/>
    </row>
    <row r="39" spans="3:16" ht="12.75">
      <c r="C39" s="13"/>
      <c r="D39" s="515"/>
      <c r="E39" s="516"/>
      <c r="F39" s="13"/>
      <c r="G39" s="13"/>
      <c r="H39" s="13"/>
      <c r="I39" s="465"/>
      <c r="J39" s="465"/>
      <c r="K39" s="347"/>
      <c r="M39" s="347"/>
      <c r="N39" s="347"/>
      <c r="O39" s="344"/>
      <c r="P39" s="344"/>
    </row>
    <row r="40" spans="4:20" ht="12.75">
      <c r="D40" s="466"/>
      <c r="E40" s="465"/>
      <c r="F40" s="13"/>
      <c r="G40" s="13"/>
      <c r="H40" s="13"/>
      <c r="I40" s="465"/>
      <c r="J40" s="465"/>
      <c r="K40" s="347"/>
      <c r="M40" s="347"/>
      <c r="N40" s="347"/>
      <c r="O40" s="344"/>
      <c r="P40" s="344"/>
      <c r="T40" s="16"/>
    </row>
    <row r="41" spans="4:16" ht="12.75">
      <c r="D41" s="466"/>
      <c r="E41" s="465"/>
      <c r="F41" s="13"/>
      <c r="G41" s="13"/>
      <c r="H41" s="13"/>
      <c r="I41" s="465"/>
      <c r="J41" s="465"/>
      <c r="K41" s="347"/>
      <c r="M41" s="347"/>
      <c r="N41" s="347"/>
      <c r="O41" s="344"/>
      <c r="P41" s="344"/>
    </row>
    <row r="42" spans="4:11" ht="12.75">
      <c r="D42" s="466"/>
      <c r="E42" s="465"/>
      <c r="F42" s="13"/>
      <c r="G42" s="13"/>
      <c r="H42" s="13"/>
      <c r="I42" s="465"/>
      <c r="J42" s="465"/>
      <c r="K42" s="347"/>
    </row>
    <row r="43" spans="4:10" ht="12.75">
      <c r="D43" s="466"/>
      <c r="E43" s="465"/>
      <c r="F43" s="13"/>
      <c r="G43" s="13"/>
      <c r="H43" s="13"/>
      <c r="I43" s="13"/>
      <c r="J43" s="13"/>
    </row>
    <row r="44" spans="4:10" ht="12.75">
      <c r="D44" s="466"/>
      <c r="E44" s="465"/>
      <c r="F44" s="13"/>
      <c r="G44" s="13"/>
      <c r="H44" s="13"/>
      <c r="I44" s="13"/>
      <c r="J44" s="13"/>
    </row>
    <row r="45" spans="4:10" ht="12.75">
      <c r="D45" s="466"/>
      <c r="E45" s="465"/>
      <c r="F45" s="13"/>
      <c r="G45" s="13"/>
      <c r="H45" s="13"/>
      <c r="I45" s="13"/>
      <c r="J45" s="13"/>
    </row>
    <row r="46" spans="4:10" ht="12.75">
      <c r="D46" s="466"/>
      <c r="E46" s="465"/>
      <c r="F46" s="13"/>
      <c r="G46" s="13"/>
      <c r="H46" s="13"/>
      <c r="I46" s="13"/>
      <c r="J46" s="13"/>
    </row>
    <row r="47" spans="4:10" ht="12.75">
      <c r="D47" s="466"/>
      <c r="E47" s="465"/>
      <c r="F47" s="13"/>
      <c r="G47" s="13"/>
      <c r="H47" s="13"/>
      <c r="I47" s="13"/>
      <c r="J47" s="13"/>
    </row>
    <row r="48" spans="4:10" ht="12.75">
      <c r="D48" s="13"/>
      <c r="E48" s="13"/>
      <c r="F48" s="13"/>
      <c r="G48" s="13"/>
      <c r="H48" s="13"/>
      <c r="I48" s="13"/>
      <c r="J48" s="13"/>
    </row>
  </sheetData>
  <sheetProtection/>
  <mergeCells count="23">
    <mergeCell ref="S29:U29"/>
    <mergeCell ref="H11:J11"/>
    <mergeCell ref="Q11:S11"/>
    <mergeCell ref="N11:P11"/>
    <mergeCell ref="S27:V27"/>
    <mergeCell ref="T14:T21"/>
    <mergeCell ref="S10:V10"/>
    <mergeCell ref="B11:B12"/>
    <mergeCell ref="V11:V12"/>
    <mergeCell ref="E11:G11"/>
    <mergeCell ref="S28:V28"/>
    <mergeCell ref="S26:V26"/>
    <mergeCell ref="K11:M11"/>
    <mergeCell ref="U1:V1"/>
    <mergeCell ref="A5:Q5"/>
    <mergeCell ref="D11:D12"/>
    <mergeCell ref="U11:U12"/>
    <mergeCell ref="T11:T12"/>
    <mergeCell ref="C11:C12"/>
    <mergeCell ref="A11:A12"/>
    <mergeCell ref="A3:V3"/>
    <mergeCell ref="A4:V4"/>
    <mergeCell ref="A6:V6"/>
  </mergeCells>
  <printOptions horizontalCentered="1"/>
  <pageMargins left="0.34" right="0.19" top="1.7" bottom="0" header="1.27" footer="0.31496062992125984"/>
  <pageSetup fitToHeight="1" fitToWidth="1" horizontalDpi="600" verticalDpi="600" orientation="landscape" paperSize="9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view="pageBreakPreview" zoomScale="80" zoomScaleSheetLayoutView="80" zoomScalePageLayoutView="0" workbookViewId="0" topLeftCell="A1">
      <selection activeCell="G26" sqref="G26"/>
    </sheetView>
  </sheetViews>
  <sheetFormatPr defaultColWidth="9.140625" defaultRowHeight="12.75"/>
  <cols>
    <col min="1" max="1" width="5.28125" style="0" customWidth="1"/>
    <col min="2" max="2" width="11.57421875" style="0" customWidth="1"/>
    <col min="3" max="3" width="13.7109375" style="0" customWidth="1"/>
    <col min="4" max="4" width="11.140625" style="0" customWidth="1"/>
    <col min="5" max="10" width="8.7109375" style="0" customWidth="1"/>
    <col min="20" max="22" width="12.00390625" style="0" customWidth="1"/>
  </cols>
  <sheetData>
    <row r="1" spans="20:22" ht="15">
      <c r="T1" s="833" t="s">
        <v>199</v>
      </c>
      <c r="U1" s="833"/>
      <c r="V1" s="833"/>
    </row>
    <row r="2" spans="1:22" ht="15">
      <c r="A2" s="772" t="s">
        <v>0</v>
      </c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  <c r="O2" s="772"/>
      <c r="P2" s="772"/>
      <c r="Q2" s="772"/>
      <c r="R2" s="772"/>
      <c r="S2" s="772"/>
      <c r="T2" s="772"/>
      <c r="U2" s="772"/>
      <c r="V2" s="772"/>
    </row>
    <row r="3" spans="1:22" ht="20.25">
      <c r="A3" s="732" t="s">
        <v>878</v>
      </c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732"/>
      <c r="Q3" s="732"/>
      <c r="R3" s="732"/>
      <c r="S3" s="732"/>
      <c r="T3" s="732"/>
      <c r="U3" s="732"/>
      <c r="V3" s="732"/>
    </row>
    <row r="5" spans="1:22" ht="15.75">
      <c r="A5" s="702" t="s">
        <v>907</v>
      </c>
      <c r="B5" s="702"/>
      <c r="C5" s="702"/>
      <c r="D5" s="702"/>
      <c r="E5" s="702"/>
      <c r="F5" s="702"/>
      <c r="G5" s="702"/>
      <c r="H5" s="702"/>
      <c r="I5" s="702"/>
      <c r="J5" s="702"/>
      <c r="K5" s="702"/>
      <c r="L5" s="702"/>
      <c r="M5" s="702"/>
      <c r="N5" s="702"/>
      <c r="O5" s="702"/>
      <c r="P5" s="702"/>
      <c r="Q5" s="702"/>
      <c r="R5" s="702"/>
      <c r="S5" s="702"/>
      <c r="T5" s="702"/>
      <c r="U5" s="702"/>
      <c r="V5" s="702"/>
    </row>
    <row r="6" spans="1:21" ht="12.75">
      <c r="A6" s="31"/>
      <c r="B6" s="31"/>
      <c r="C6" s="149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U6" s="31"/>
    </row>
    <row r="7" spans="1:17" ht="15.75">
      <c r="A7" s="834" t="s">
        <v>495</v>
      </c>
      <c r="B7" s="834"/>
      <c r="C7" s="834"/>
      <c r="D7" s="834"/>
      <c r="E7" s="834"/>
      <c r="F7" s="834"/>
      <c r="G7" s="834"/>
      <c r="H7" s="834"/>
      <c r="I7" s="834"/>
      <c r="J7" s="834"/>
      <c r="K7" s="834"/>
      <c r="L7" s="834"/>
      <c r="M7" s="834"/>
      <c r="N7" s="834"/>
      <c r="O7" s="834"/>
      <c r="P7" s="834"/>
      <c r="Q7" s="834"/>
    </row>
    <row r="8" spans="1:21" ht="15.75">
      <c r="A8" s="48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Q8" s="31"/>
      <c r="R8" s="31"/>
      <c r="S8" s="31"/>
      <c r="U8" s="31" t="s">
        <v>218</v>
      </c>
    </row>
    <row r="9" spans="20:23" ht="12.75">
      <c r="T9" s="838" t="s">
        <v>929</v>
      </c>
      <c r="U9" s="838"/>
      <c r="V9" s="838"/>
      <c r="W9" s="838"/>
    </row>
    <row r="10" spans="1:22" s="270" customFormat="1" ht="28.5" customHeight="1">
      <c r="A10" s="708" t="s">
        <v>494</v>
      </c>
      <c r="B10" s="708" t="s">
        <v>197</v>
      </c>
      <c r="C10" s="708" t="s">
        <v>372</v>
      </c>
      <c r="D10" s="708" t="s">
        <v>373</v>
      </c>
      <c r="E10" s="677" t="s">
        <v>906</v>
      </c>
      <c r="F10" s="677"/>
      <c r="G10" s="677"/>
      <c r="H10" s="664" t="s">
        <v>937</v>
      </c>
      <c r="I10" s="775"/>
      <c r="J10" s="665"/>
      <c r="K10" s="717" t="s">
        <v>375</v>
      </c>
      <c r="L10" s="718"/>
      <c r="M10" s="829"/>
      <c r="N10" s="727" t="s">
        <v>156</v>
      </c>
      <c r="O10" s="728"/>
      <c r="P10" s="729"/>
      <c r="Q10" s="674" t="s">
        <v>926</v>
      </c>
      <c r="R10" s="674"/>
      <c r="S10" s="674"/>
      <c r="T10" s="708" t="s">
        <v>244</v>
      </c>
      <c r="U10" s="708" t="s">
        <v>424</v>
      </c>
      <c r="V10" s="708" t="s">
        <v>376</v>
      </c>
    </row>
    <row r="11" spans="1:22" s="270" customFormat="1" ht="56.25" customHeight="1">
      <c r="A11" s="710"/>
      <c r="B11" s="710"/>
      <c r="C11" s="710"/>
      <c r="D11" s="710"/>
      <c r="E11" s="257" t="s">
        <v>174</v>
      </c>
      <c r="F11" s="257" t="s">
        <v>198</v>
      </c>
      <c r="G11" s="257" t="s">
        <v>16</v>
      </c>
      <c r="H11" s="257" t="s">
        <v>174</v>
      </c>
      <c r="I11" s="257" t="s">
        <v>198</v>
      </c>
      <c r="J11" s="257" t="s">
        <v>16</v>
      </c>
      <c r="K11" s="257" t="s">
        <v>174</v>
      </c>
      <c r="L11" s="257" t="s">
        <v>198</v>
      </c>
      <c r="M11" s="257" t="s">
        <v>16</v>
      </c>
      <c r="N11" s="257" t="s">
        <v>174</v>
      </c>
      <c r="O11" s="257" t="s">
        <v>198</v>
      </c>
      <c r="P11" s="257" t="s">
        <v>16</v>
      </c>
      <c r="Q11" s="257" t="s">
        <v>231</v>
      </c>
      <c r="R11" s="257" t="s">
        <v>210</v>
      </c>
      <c r="S11" s="257" t="s">
        <v>211</v>
      </c>
      <c r="T11" s="710"/>
      <c r="U11" s="710"/>
      <c r="V11" s="710"/>
    </row>
    <row r="12" spans="1:22" ht="12.75">
      <c r="A12" s="148">
        <v>1</v>
      </c>
      <c r="B12" s="107">
        <v>2</v>
      </c>
      <c r="C12" s="8">
        <v>3</v>
      </c>
      <c r="D12" s="148">
        <v>4</v>
      </c>
      <c r="E12" s="107">
        <v>5</v>
      </c>
      <c r="F12" s="8">
        <v>6</v>
      </c>
      <c r="G12" s="148">
        <v>7</v>
      </c>
      <c r="H12" s="107">
        <v>8</v>
      </c>
      <c r="I12" s="8">
        <v>9</v>
      </c>
      <c r="J12" s="148">
        <v>10</v>
      </c>
      <c r="K12" s="107">
        <v>11</v>
      </c>
      <c r="L12" s="8">
        <v>12</v>
      </c>
      <c r="M12" s="148">
        <v>13</v>
      </c>
      <c r="N12" s="107">
        <v>14</v>
      </c>
      <c r="O12" s="8">
        <v>15</v>
      </c>
      <c r="P12" s="148">
        <v>16</v>
      </c>
      <c r="Q12" s="107">
        <v>17</v>
      </c>
      <c r="R12" s="8">
        <v>18</v>
      </c>
      <c r="S12" s="148">
        <v>19</v>
      </c>
      <c r="T12" s="107">
        <v>20</v>
      </c>
      <c r="U12" s="148">
        <v>21</v>
      </c>
      <c r="V12" s="107">
        <v>22</v>
      </c>
    </row>
    <row r="13" spans="1:22" ht="18.75" customHeight="1">
      <c r="A13" s="8">
        <v>1</v>
      </c>
      <c r="B13" s="19" t="s">
        <v>473</v>
      </c>
      <c r="C13" s="9">
        <v>582</v>
      </c>
      <c r="D13" s="382">
        <v>583</v>
      </c>
      <c r="E13" s="343">
        <f>C13*9000/100000</f>
        <v>52.38</v>
      </c>
      <c r="F13" s="343">
        <f>C13*6000/100000</f>
        <v>34.92</v>
      </c>
      <c r="G13" s="343">
        <f>SUM(E13:F13)</f>
        <v>87.30000000000001</v>
      </c>
      <c r="H13" s="343">
        <f>1.144*D13/3704</f>
        <v>0.18006263498920086</v>
      </c>
      <c r="I13" s="343">
        <f>0.436*D13/3704</f>
        <v>0.06862526997840172</v>
      </c>
      <c r="J13" s="343">
        <f>SUM(H13:I13)</f>
        <v>0.24868790496760257</v>
      </c>
      <c r="K13" s="343">
        <f>332.422*E13/332.46</f>
        <v>52.3740129940444</v>
      </c>
      <c r="L13" s="343">
        <f>222.281*F13/221.64</f>
        <v>35.02099133730374</v>
      </c>
      <c r="M13" s="343">
        <f>SUM(K13:L13)</f>
        <v>87.39500433134813</v>
      </c>
      <c r="N13" s="343">
        <f>D13*900*7/100000</f>
        <v>36.729</v>
      </c>
      <c r="O13" s="343">
        <f>(D13*600*7/100000)</f>
        <v>24.486</v>
      </c>
      <c r="P13" s="343">
        <f>SUM(N13:O13)</f>
        <v>61.215</v>
      </c>
      <c r="Q13" s="343">
        <f>(H13+K13)-N13</f>
        <v>15.825075629033599</v>
      </c>
      <c r="R13" s="343">
        <f>(I13+L13)-O13</f>
        <v>10.603616607282145</v>
      </c>
      <c r="S13" s="343">
        <f>(J13+M13)-P13</f>
        <v>26.428692236315726</v>
      </c>
      <c r="T13" s="839" t="s">
        <v>508</v>
      </c>
      <c r="U13" s="9">
        <f>D13</f>
        <v>583</v>
      </c>
      <c r="V13" s="9">
        <f>U13</f>
        <v>583</v>
      </c>
    </row>
    <row r="14" spans="1:22" ht="18.75" customHeight="1">
      <c r="A14" s="8">
        <v>2</v>
      </c>
      <c r="B14" s="19" t="s">
        <v>474</v>
      </c>
      <c r="C14" s="9">
        <v>515</v>
      </c>
      <c r="D14" s="382">
        <v>516</v>
      </c>
      <c r="E14" s="343">
        <f aca="true" t="shared" si="0" ref="E14:E20">C14*9000/100000</f>
        <v>46.35</v>
      </c>
      <c r="F14" s="343">
        <f aca="true" t="shared" si="1" ref="F14:F20">C14*6000/100000</f>
        <v>30.9</v>
      </c>
      <c r="G14" s="343">
        <f aca="true" t="shared" si="2" ref="G14:G20">SUM(E14:F14)</f>
        <v>77.25</v>
      </c>
      <c r="H14" s="343">
        <f aca="true" t="shared" si="3" ref="H14:H20">1.144*D14/3704</f>
        <v>0.15936933045356372</v>
      </c>
      <c r="I14" s="343">
        <f aca="true" t="shared" si="4" ref="I14:I20">0.436*D14/3704</f>
        <v>0.06073866090712743</v>
      </c>
      <c r="J14" s="343">
        <f aca="true" t="shared" si="5" ref="J14:J20">SUM(H14:I14)</f>
        <v>0.22010799136069115</v>
      </c>
      <c r="K14" s="343">
        <f aca="true" t="shared" si="6" ref="K14:K20">332.422*E14/332.46</f>
        <v>46.34470221981593</v>
      </c>
      <c r="L14" s="343">
        <f aca="true" t="shared" si="7" ref="L14:L20">222.281*F14/221.64</f>
        <v>30.98936518678939</v>
      </c>
      <c r="M14" s="343">
        <f aca="true" t="shared" si="8" ref="M14:M20">SUM(K14:L14)</f>
        <v>77.33406740660531</v>
      </c>
      <c r="N14" s="343">
        <f aca="true" t="shared" si="9" ref="N14:N20">D14*900*7/100000</f>
        <v>32.508</v>
      </c>
      <c r="O14" s="343">
        <f aca="true" t="shared" si="10" ref="O14:O20">(D14*600*7/100000)</f>
        <v>21.672</v>
      </c>
      <c r="P14" s="343">
        <f aca="true" t="shared" si="11" ref="P14:P20">SUM(N14:O14)</f>
        <v>54.18000000000001</v>
      </c>
      <c r="Q14" s="343">
        <f aca="true" t="shared" si="12" ref="Q14:Q20">(H14+K14)-N14</f>
        <v>13.996071550269491</v>
      </c>
      <c r="R14" s="343">
        <f aca="true" t="shared" si="13" ref="R14:R20">(I14+L14)-O14</f>
        <v>9.378103847696515</v>
      </c>
      <c r="S14" s="343">
        <f aca="true" t="shared" si="14" ref="S14:S20">(J14+M14)-P14</f>
        <v>23.374175397966</v>
      </c>
      <c r="T14" s="768"/>
      <c r="U14" s="9">
        <f aca="true" t="shared" si="15" ref="U14:U20">D14</f>
        <v>516</v>
      </c>
      <c r="V14" s="9">
        <f aca="true" t="shared" si="16" ref="V14:V20">U14</f>
        <v>516</v>
      </c>
    </row>
    <row r="15" spans="1:22" ht="18.75" customHeight="1">
      <c r="A15" s="8">
        <v>3</v>
      </c>
      <c r="B15" s="19" t="s">
        <v>475</v>
      </c>
      <c r="C15" s="9">
        <v>388</v>
      </c>
      <c r="D15" s="382">
        <v>389</v>
      </c>
      <c r="E15" s="343">
        <f t="shared" si="0"/>
        <v>34.92</v>
      </c>
      <c r="F15" s="343">
        <f t="shared" si="1"/>
        <v>23.28</v>
      </c>
      <c r="G15" s="343">
        <f t="shared" si="2"/>
        <v>58.2</v>
      </c>
      <c r="H15" s="343">
        <f t="shared" si="3"/>
        <v>0.12014470842332613</v>
      </c>
      <c r="I15" s="343">
        <f t="shared" si="4"/>
        <v>0.04578941684665227</v>
      </c>
      <c r="J15" s="343">
        <f t="shared" si="5"/>
        <v>0.1659341252699784</v>
      </c>
      <c r="K15" s="343">
        <f t="shared" si="6"/>
        <v>34.91600866269627</v>
      </c>
      <c r="L15" s="343">
        <f t="shared" si="7"/>
        <v>23.347327558202494</v>
      </c>
      <c r="M15" s="343">
        <f t="shared" si="8"/>
        <v>58.263336220898765</v>
      </c>
      <c r="N15" s="343">
        <f t="shared" si="9"/>
        <v>24.507</v>
      </c>
      <c r="O15" s="343">
        <f t="shared" si="10"/>
        <v>16.338</v>
      </c>
      <c r="P15" s="343">
        <f t="shared" si="11"/>
        <v>40.845</v>
      </c>
      <c r="Q15" s="343">
        <f t="shared" si="12"/>
        <v>10.529153371119595</v>
      </c>
      <c r="R15" s="343">
        <f t="shared" si="13"/>
        <v>7.055116975049145</v>
      </c>
      <c r="S15" s="343">
        <f t="shared" si="14"/>
        <v>17.584270346168744</v>
      </c>
      <c r="T15" s="768"/>
      <c r="U15" s="9">
        <f t="shared" si="15"/>
        <v>389</v>
      </c>
      <c r="V15" s="9">
        <f t="shared" si="16"/>
        <v>389</v>
      </c>
    </row>
    <row r="16" spans="1:22" ht="18.75" customHeight="1">
      <c r="A16" s="8">
        <v>4</v>
      </c>
      <c r="B16" s="19" t="s">
        <v>476</v>
      </c>
      <c r="C16" s="9">
        <v>416</v>
      </c>
      <c r="D16" s="382">
        <v>417</v>
      </c>
      <c r="E16" s="343">
        <f t="shared" si="0"/>
        <v>37.44</v>
      </c>
      <c r="F16" s="343">
        <f t="shared" si="1"/>
        <v>24.96</v>
      </c>
      <c r="G16" s="343">
        <f t="shared" si="2"/>
        <v>62.4</v>
      </c>
      <c r="H16" s="343">
        <f t="shared" si="3"/>
        <v>0.128792656587473</v>
      </c>
      <c r="I16" s="343">
        <f t="shared" si="4"/>
        <v>0.04908531317494601</v>
      </c>
      <c r="J16" s="343">
        <f t="shared" si="5"/>
        <v>0.17787796976241899</v>
      </c>
      <c r="K16" s="343">
        <f t="shared" si="6"/>
        <v>37.43572062804548</v>
      </c>
      <c r="L16" s="343">
        <f t="shared" si="7"/>
        <v>25.032186247969683</v>
      </c>
      <c r="M16" s="343">
        <f t="shared" si="8"/>
        <v>62.467906876015164</v>
      </c>
      <c r="N16" s="343">
        <f t="shared" si="9"/>
        <v>26.271</v>
      </c>
      <c r="O16" s="343">
        <f t="shared" si="10"/>
        <v>17.514</v>
      </c>
      <c r="P16" s="343">
        <f t="shared" si="11"/>
        <v>43.785</v>
      </c>
      <c r="Q16" s="343">
        <f t="shared" si="12"/>
        <v>11.293513284632951</v>
      </c>
      <c r="R16" s="343">
        <f t="shared" si="13"/>
        <v>7.567271561144629</v>
      </c>
      <c r="S16" s="343">
        <f t="shared" si="14"/>
        <v>18.860784845777587</v>
      </c>
      <c r="T16" s="768"/>
      <c r="U16" s="9">
        <f t="shared" si="15"/>
        <v>417</v>
      </c>
      <c r="V16" s="9">
        <f t="shared" si="16"/>
        <v>417</v>
      </c>
    </row>
    <row r="17" spans="1:22" ht="18.75" customHeight="1">
      <c r="A17" s="8">
        <v>5</v>
      </c>
      <c r="B17" s="19" t="s">
        <v>477</v>
      </c>
      <c r="C17" s="9">
        <v>574</v>
      </c>
      <c r="D17" s="382">
        <v>576</v>
      </c>
      <c r="E17" s="343">
        <f t="shared" si="0"/>
        <v>51.66</v>
      </c>
      <c r="F17" s="343">
        <f t="shared" si="1"/>
        <v>34.44</v>
      </c>
      <c r="G17" s="343">
        <f t="shared" si="2"/>
        <v>86.1</v>
      </c>
      <c r="H17" s="343">
        <f t="shared" si="3"/>
        <v>0.17790064794816413</v>
      </c>
      <c r="I17" s="343">
        <f t="shared" si="4"/>
        <v>0.06780129589632829</v>
      </c>
      <c r="J17" s="343">
        <f t="shared" si="5"/>
        <v>0.2457019438444924</v>
      </c>
      <c r="K17" s="343">
        <f t="shared" si="6"/>
        <v>51.65409528965891</v>
      </c>
      <c r="L17" s="343">
        <f t="shared" si="7"/>
        <v>34.53960314022739</v>
      </c>
      <c r="M17" s="343">
        <f t="shared" si="8"/>
        <v>86.1936984298863</v>
      </c>
      <c r="N17" s="343">
        <f t="shared" si="9"/>
        <v>36.288</v>
      </c>
      <c r="O17" s="343">
        <f t="shared" si="10"/>
        <v>24.192</v>
      </c>
      <c r="P17" s="343">
        <f t="shared" si="11"/>
        <v>60.48</v>
      </c>
      <c r="Q17" s="343">
        <f t="shared" si="12"/>
        <v>15.543995937607079</v>
      </c>
      <c r="R17" s="343">
        <f t="shared" si="13"/>
        <v>10.415404436123723</v>
      </c>
      <c r="S17" s="343">
        <f t="shared" si="14"/>
        <v>25.959400373730794</v>
      </c>
      <c r="T17" s="768"/>
      <c r="U17" s="9">
        <f t="shared" si="15"/>
        <v>576</v>
      </c>
      <c r="V17" s="9">
        <f t="shared" si="16"/>
        <v>576</v>
      </c>
    </row>
    <row r="18" spans="1:22" ht="18.75" customHeight="1">
      <c r="A18" s="8">
        <v>6</v>
      </c>
      <c r="B18" s="19" t="s">
        <v>478</v>
      </c>
      <c r="C18" s="9">
        <v>274</v>
      </c>
      <c r="D18" s="382">
        <v>275</v>
      </c>
      <c r="E18" s="343">
        <f t="shared" si="0"/>
        <v>24.66</v>
      </c>
      <c r="F18" s="343">
        <f t="shared" si="1"/>
        <v>16.44</v>
      </c>
      <c r="G18" s="343">
        <f t="shared" si="2"/>
        <v>41.1</v>
      </c>
      <c r="H18" s="343">
        <f t="shared" si="3"/>
        <v>0.0849352051835853</v>
      </c>
      <c r="I18" s="343">
        <f t="shared" si="4"/>
        <v>0.03237041036717063</v>
      </c>
      <c r="J18" s="343">
        <f t="shared" si="5"/>
        <v>0.11730561555075593</v>
      </c>
      <c r="K18" s="343">
        <f t="shared" si="6"/>
        <v>24.657181375203038</v>
      </c>
      <c r="L18" s="343">
        <f t="shared" si="7"/>
        <v>16.487545749864648</v>
      </c>
      <c r="M18" s="343">
        <f t="shared" si="8"/>
        <v>41.14472712506769</v>
      </c>
      <c r="N18" s="343">
        <f t="shared" si="9"/>
        <v>17.325</v>
      </c>
      <c r="O18" s="343">
        <f t="shared" si="10"/>
        <v>11.55</v>
      </c>
      <c r="P18" s="343">
        <f t="shared" si="11"/>
        <v>28.875</v>
      </c>
      <c r="Q18" s="343">
        <f t="shared" si="12"/>
        <v>7.417116580386622</v>
      </c>
      <c r="R18" s="343">
        <f t="shared" si="13"/>
        <v>4.9699161602318185</v>
      </c>
      <c r="S18" s="343">
        <f t="shared" si="14"/>
        <v>12.387032740618444</v>
      </c>
      <c r="T18" s="768"/>
      <c r="U18" s="9">
        <f t="shared" si="15"/>
        <v>275</v>
      </c>
      <c r="V18" s="9">
        <f t="shared" si="16"/>
        <v>275</v>
      </c>
    </row>
    <row r="19" spans="1:22" ht="18.75" customHeight="1">
      <c r="A19" s="8">
        <v>7</v>
      </c>
      <c r="B19" s="19" t="s">
        <v>479</v>
      </c>
      <c r="C19" s="9">
        <v>360</v>
      </c>
      <c r="D19" s="382">
        <v>361</v>
      </c>
      <c r="E19" s="343">
        <f t="shared" si="0"/>
        <v>32.4</v>
      </c>
      <c r="F19" s="343">
        <f t="shared" si="1"/>
        <v>21.6</v>
      </c>
      <c r="G19" s="343">
        <f t="shared" si="2"/>
        <v>54</v>
      </c>
      <c r="H19" s="343">
        <f t="shared" si="3"/>
        <v>0.11149676025917926</v>
      </c>
      <c r="I19" s="343">
        <f t="shared" si="4"/>
        <v>0.04249352051835853</v>
      </c>
      <c r="J19" s="343">
        <f t="shared" si="5"/>
        <v>0.1539902807775378</v>
      </c>
      <c r="K19" s="343">
        <f t="shared" si="6"/>
        <v>32.39629669734705</v>
      </c>
      <c r="L19" s="343">
        <f t="shared" si="7"/>
        <v>21.662468868435305</v>
      </c>
      <c r="M19" s="343">
        <f t="shared" si="8"/>
        <v>54.05876556578235</v>
      </c>
      <c r="N19" s="343">
        <f t="shared" si="9"/>
        <v>22.743</v>
      </c>
      <c r="O19" s="343">
        <f t="shared" si="10"/>
        <v>15.162</v>
      </c>
      <c r="P19" s="343">
        <f t="shared" si="11"/>
        <v>37.905</v>
      </c>
      <c r="Q19" s="343">
        <f t="shared" si="12"/>
        <v>9.764793457606228</v>
      </c>
      <c r="R19" s="343">
        <f t="shared" si="13"/>
        <v>6.542962388953663</v>
      </c>
      <c r="S19" s="343">
        <f t="shared" si="14"/>
        <v>16.307755846559886</v>
      </c>
      <c r="T19" s="768"/>
      <c r="U19" s="9">
        <f t="shared" si="15"/>
        <v>361</v>
      </c>
      <c r="V19" s="9">
        <f t="shared" si="16"/>
        <v>361</v>
      </c>
    </row>
    <row r="20" spans="1:22" ht="18.75" customHeight="1">
      <c r="A20" s="8">
        <v>8</v>
      </c>
      <c r="B20" s="19" t="s">
        <v>480</v>
      </c>
      <c r="C20" s="9">
        <v>585</v>
      </c>
      <c r="D20" s="382">
        <v>587</v>
      </c>
      <c r="E20" s="343">
        <f t="shared" si="0"/>
        <v>52.65</v>
      </c>
      <c r="F20" s="343">
        <f t="shared" si="1"/>
        <v>35.1</v>
      </c>
      <c r="G20" s="343">
        <f t="shared" si="2"/>
        <v>87.75</v>
      </c>
      <c r="H20" s="343">
        <f t="shared" si="3"/>
        <v>0.18129805615550754</v>
      </c>
      <c r="I20" s="343">
        <f t="shared" si="4"/>
        <v>0.06909611231101512</v>
      </c>
      <c r="J20" s="343">
        <f t="shared" si="5"/>
        <v>0.2503941684665226</v>
      </c>
      <c r="K20" s="343">
        <f t="shared" si="6"/>
        <v>52.643982133188956</v>
      </c>
      <c r="L20" s="343">
        <f t="shared" si="7"/>
        <v>35.20151191120737</v>
      </c>
      <c r="M20" s="343">
        <f t="shared" si="8"/>
        <v>87.84549404439633</v>
      </c>
      <c r="N20" s="343">
        <f t="shared" si="9"/>
        <v>36.981</v>
      </c>
      <c r="O20" s="343">
        <f t="shared" si="10"/>
        <v>24.654</v>
      </c>
      <c r="P20" s="343">
        <f t="shared" si="11"/>
        <v>61.635000000000005</v>
      </c>
      <c r="Q20" s="343">
        <f t="shared" si="12"/>
        <v>15.84428018934446</v>
      </c>
      <c r="R20" s="343">
        <f t="shared" si="13"/>
        <v>10.616608023518385</v>
      </c>
      <c r="S20" s="343">
        <f t="shared" si="14"/>
        <v>26.460888212862855</v>
      </c>
      <c r="T20" s="769"/>
      <c r="U20" s="9">
        <f t="shared" si="15"/>
        <v>587</v>
      </c>
      <c r="V20" s="9">
        <f t="shared" si="16"/>
        <v>587</v>
      </c>
    </row>
    <row r="21" spans="1:22" ht="18.75" customHeight="1">
      <c r="A21" s="3"/>
      <c r="B21" s="27" t="s">
        <v>481</v>
      </c>
      <c r="C21" s="9">
        <f>SUM(C13:C20)</f>
        <v>3694</v>
      </c>
      <c r="D21" s="9">
        <f aca="true" t="shared" si="17" ref="D21:V21">SUM(D13:D20)</f>
        <v>3704</v>
      </c>
      <c r="E21" s="343">
        <f t="shared" si="17"/>
        <v>332.46</v>
      </c>
      <c r="F21" s="343">
        <f t="shared" si="17"/>
        <v>221.64</v>
      </c>
      <c r="G21" s="343">
        <f t="shared" si="17"/>
        <v>554.1</v>
      </c>
      <c r="H21" s="343">
        <f t="shared" si="17"/>
        <v>1.144</v>
      </c>
      <c r="I21" s="343">
        <f t="shared" si="17"/>
        <v>0.43600000000000005</v>
      </c>
      <c r="J21" s="343">
        <f t="shared" si="17"/>
        <v>1.5799999999999996</v>
      </c>
      <c r="K21" s="343">
        <f t="shared" si="17"/>
        <v>332.422</v>
      </c>
      <c r="L21" s="343">
        <f t="shared" si="17"/>
        <v>222.281</v>
      </c>
      <c r="M21" s="343">
        <f t="shared" si="17"/>
        <v>554.7030000000001</v>
      </c>
      <c r="N21" s="343">
        <f t="shared" si="17"/>
        <v>233.35199999999998</v>
      </c>
      <c r="O21" s="343">
        <f t="shared" si="17"/>
        <v>155.56799999999998</v>
      </c>
      <c r="P21" s="343">
        <f t="shared" si="17"/>
        <v>388.91999999999996</v>
      </c>
      <c r="Q21" s="343">
        <f t="shared" si="17"/>
        <v>100.21400000000003</v>
      </c>
      <c r="R21" s="343">
        <f t="shared" si="17"/>
        <v>67.14900000000003</v>
      </c>
      <c r="S21" s="343">
        <f t="shared" si="17"/>
        <v>167.36300000000006</v>
      </c>
      <c r="T21" s="9"/>
      <c r="U21" s="9">
        <f t="shared" si="17"/>
        <v>3704</v>
      </c>
      <c r="V21" s="9">
        <f t="shared" si="17"/>
        <v>3704</v>
      </c>
    </row>
    <row r="22" ht="12.75">
      <c r="D22" t="s">
        <v>11</v>
      </c>
    </row>
    <row r="23" spans="1:17" ht="12.75">
      <c r="A23" s="16"/>
      <c r="B23" s="16"/>
      <c r="C23" s="21"/>
      <c r="D23" s="628"/>
      <c r="E23" s="465"/>
      <c r="F23" s="465"/>
      <c r="G23" s="465"/>
      <c r="H23" s="465"/>
      <c r="I23" s="465"/>
      <c r="J23" s="465"/>
      <c r="K23" s="465"/>
      <c r="L23" s="465"/>
      <c r="M23" s="28"/>
      <c r="N23" s="28"/>
      <c r="O23" s="28"/>
      <c r="P23" s="13"/>
      <c r="Q23" s="436"/>
    </row>
    <row r="24" spans="3:17" ht="12.75">
      <c r="C24" s="21"/>
      <c r="D24" s="628"/>
      <c r="E24" s="465"/>
      <c r="F24" s="465"/>
      <c r="G24" s="465"/>
      <c r="H24" s="465"/>
      <c r="I24" s="465"/>
      <c r="J24" s="465"/>
      <c r="K24" s="465"/>
      <c r="L24" s="465"/>
      <c r="M24" s="28"/>
      <c r="N24" s="28"/>
      <c r="O24" s="28"/>
      <c r="P24" s="13"/>
      <c r="Q24" s="436" t="s">
        <v>11</v>
      </c>
    </row>
    <row r="25" spans="1:22" ht="12.75" customHeight="1">
      <c r="A25" s="15" t="s">
        <v>12</v>
      </c>
      <c r="B25" s="15"/>
      <c r="C25" s="21"/>
      <c r="D25" s="628"/>
      <c r="E25" s="465"/>
      <c r="F25" s="465"/>
      <c r="G25" s="465"/>
      <c r="H25" s="465"/>
      <c r="I25" s="465"/>
      <c r="J25" s="465"/>
      <c r="K25" s="465"/>
      <c r="L25" s="465"/>
      <c r="M25" s="28"/>
      <c r="N25" s="28"/>
      <c r="O25" s="28"/>
      <c r="P25" s="13"/>
      <c r="Q25" s="436"/>
      <c r="S25" s="699"/>
      <c r="T25" s="699"/>
      <c r="U25" s="699"/>
      <c r="V25" s="699"/>
    </row>
    <row r="26" spans="2:22" ht="12.75" customHeight="1">
      <c r="B26" s="86"/>
      <c r="C26" s="21"/>
      <c r="D26" s="628"/>
      <c r="E26" s="465"/>
      <c r="F26" s="465"/>
      <c r="G26" s="465"/>
      <c r="H26" s="465"/>
      <c r="I26" s="465"/>
      <c r="J26" s="465"/>
      <c r="K26" s="465"/>
      <c r="L26" s="465"/>
      <c r="M26" s="420"/>
      <c r="N26" s="420"/>
      <c r="O26" s="28"/>
      <c r="P26" s="420"/>
      <c r="Q26" s="436"/>
      <c r="S26" s="699" t="s">
        <v>1062</v>
      </c>
      <c r="T26" s="699"/>
      <c r="U26" s="699"/>
      <c r="V26" s="699"/>
    </row>
    <row r="27" spans="2:22" ht="12.75" customHeight="1">
      <c r="B27" s="86"/>
      <c r="C27" s="21"/>
      <c r="D27" s="628"/>
      <c r="E27" s="465"/>
      <c r="F27" s="465"/>
      <c r="G27" s="465"/>
      <c r="H27" s="465"/>
      <c r="I27" s="465"/>
      <c r="J27" s="465"/>
      <c r="K27" s="465"/>
      <c r="L27" s="465"/>
      <c r="M27" s="420"/>
      <c r="N27" s="420"/>
      <c r="O27" s="28"/>
      <c r="P27" s="420"/>
      <c r="Q27" s="436"/>
      <c r="S27" s="699" t="s">
        <v>485</v>
      </c>
      <c r="T27" s="699"/>
      <c r="U27" s="699"/>
      <c r="V27" s="699"/>
    </row>
    <row r="28" spans="3:21" ht="12.75">
      <c r="C28" s="21"/>
      <c r="D28" s="628"/>
      <c r="E28" s="465"/>
      <c r="F28" s="465"/>
      <c r="G28" s="465"/>
      <c r="H28" s="465"/>
      <c r="I28" s="465"/>
      <c r="J28" s="465"/>
      <c r="K28" s="465"/>
      <c r="L28" s="465"/>
      <c r="M28" s="28"/>
      <c r="N28" s="28"/>
      <c r="O28" s="28"/>
      <c r="P28" s="13"/>
      <c r="Q28" s="436"/>
      <c r="S28" s="668" t="s">
        <v>543</v>
      </c>
      <c r="T28" s="668"/>
      <c r="U28" s="668"/>
    </row>
    <row r="29" spans="3:17" ht="12.75">
      <c r="C29" s="21"/>
      <c r="D29" s="628"/>
      <c r="E29" s="465"/>
      <c r="F29" s="465"/>
      <c r="G29" s="465"/>
      <c r="H29" s="465"/>
      <c r="I29" s="465"/>
      <c r="J29" s="465"/>
      <c r="K29" s="465"/>
      <c r="L29" s="465"/>
      <c r="M29" s="28"/>
      <c r="N29" s="28"/>
      <c r="O29" s="28"/>
      <c r="P29" s="13"/>
      <c r="Q29" s="436"/>
    </row>
    <row r="30" spans="3:17" ht="12.75">
      <c r="C30" s="21"/>
      <c r="D30" s="628"/>
      <c r="E30" s="465"/>
      <c r="F30" s="465"/>
      <c r="G30" s="465"/>
      <c r="H30" s="465"/>
      <c r="I30" s="465"/>
      <c r="J30" s="465"/>
      <c r="K30" s="465"/>
      <c r="L30" s="465"/>
      <c r="M30" s="28"/>
      <c r="N30" s="28"/>
      <c r="O30" s="28"/>
      <c r="P30" s="13"/>
      <c r="Q30" s="436"/>
    </row>
    <row r="31" spans="3:17" ht="12.75">
      <c r="C31" s="13"/>
      <c r="D31" s="506"/>
      <c r="E31" s="465"/>
      <c r="F31" s="465"/>
      <c r="G31" s="13"/>
      <c r="H31" s="465"/>
      <c r="I31" s="465"/>
      <c r="J31" s="465"/>
      <c r="K31" s="465"/>
      <c r="L31" s="465"/>
      <c r="M31" s="28"/>
      <c r="N31" s="28"/>
      <c r="O31" s="28"/>
      <c r="P31" s="13"/>
      <c r="Q31" s="436"/>
    </row>
    <row r="32" spans="4:16" ht="12.75">
      <c r="D32" s="347"/>
      <c r="E32" s="13"/>
      <c r="F32" s="436"/>
      <c r="G32" s="436"/>
      <c r="I32" s="13"/>
      <c r="J32" s="13"/>
      <c r="K32" s="344"/>
      <c r="M32" s="344"/>
      <c r="N32" s="344"/>
      <c r="P32" s="16" t="s">
        <v>11</v>
      </c>
    </row>
    <row r="33" spans="4:14" ht="12.75">
      <c r="D33" s="347"/>
      <c r="E33" s="465"/>
      <c r="F33" s="13"/>
      <c r="G33" s="13"/>
      <c r="I33" s="13"/>
      <c r="J33" s="13"/>
      <c r="N33" s="344"/>
    </row>
    <row r="34" spans="4:14" ht="12.75">
      <c r="D34" s="465"/>
      <c r="E34" s="465"/>
      <c r="F34" s="13"/>
      <c r="G34" s="13"/>
      <c r="I34" s="13"/>
      <c r="J34" s="13"/>
      <c r="N34" s="344"/>
    </row>
    <row r="35" spans="4:14" ht="12.75">
      <c r="D35" s="465"/>
      <c r="E35" s="465"/>
      <c r="F35" s="13"/>
      <c r="G35" s="13"/>
      <c r="H35" s="13"/>
      <c r="I35" s="13"/>
      <c r="J35" s="13"/>
      <c r="N35" s="344"/>
    </row>
    <row r="36" spans="4:14" ht="12.75">
      <c r="D36" s="465"/>
      <c r="E36" s="465"/>
      <c r="F36" s="13"/>
      <c r="G36" s="13"/>
      <c r="H36" s="13"/>
      <c r="I36" s="13"/>
      <c r="J36" s="13"/>
      <c r="N36" s="344"/>
    </row>
    <row r="37" spans="4:14" ht="12.75">
      <c r="D37" s="465"/>
      <c r="E37" s="465"/>
      <c r="F37" s="13"/>
      <c r="G37" s="13"/>
      <c r="H37" s="13"/>
      <c r="I37" s="13"/>
      <c r="J37" s="13"/>
      <c r="N37" s="344"/>
    </row>
    <row r="38" spans="4:14" ht="12.75">
      <c r="D38" s="465"/>
      <c r="E38" s="465"/>
      <c r="F38" s="13"/>
      <c r="G38" s="13"/>
      <c r="H38" s="13"/>
      <c r="I38" s="13"/>
      <c r="J38" s="13"/>
      <c r="N38" s="344"/>
    </row>
    <row r="39" spans="4:14" ht="12.75">
      <c r="D39" s="465"/>
      <c r="E39" s="465"/>
      <c r="F39" s="13"/>
      <c r="G39" s="13"/>
      <c r="H39" s="13"/>
      <c r="I39" s="13"/>
      <c r="J39" s="13"/>
      <c r="N39" s="344"/>
    </row>
    <row r="40" spans="4:14" ht="12.75">
      <c r="D40" s="465"/>
      <c r="E40" s="465"/>
      <c r="F40" s="13"/>
      <c r="G40" s="13"/>
      <c r="H40" s="13"/>
      <c r="I40" s="13"/>
      <c r="J40" s="13"/>
      <c r="N40" s="344"/>
    </row>
    <row r="41" spans="4:10" ht="12.75">
      <c r="D41" s="465"/>
      <c r="E41" s="465"/>
      <c r="F41" s="13"/>
      <c r="G41" s="13"/>
      <c r="H41" s="13"/>
      <c r="I41" s="13"/>
      <c r="J41" s="13"/>
    </row>
    <row r="42" spans="4:11" ht="12.75">
      <c r="D42" s="13"/>
      <c r="E42" s="13"/>
      <c r="F42" s="13"/>
      <c r="G42" s="13"/>
      <c r="H42" s="13"/>
      <c r="I42" s="13"/>
      <c r="J42" s="13"/>
      <c r="K42" s="16"/>
    </row>
  </sheetData>
  <sheetProtection/>
  <mergeCells count="23">
    <mergeCell ref="V10:V11"/>
    <mergeCell ref="N10:P10"/>
    <mergeCell ref="Q10:S10"/>
    <mergeCell ref="T13:T20"/>
    <mergeCell ref="S27:V27"/>
    <mergeCell ref="S25:V25"/>
    <mergeCell ref="S26:V26"/>
    <mergeCell ref="H10:J10"/>
    <mergeCell ref="K10:M10"/>
    <mergeCell ref="D10:D11"/>
    <mergeCell ref="E10:G10"/>
    <mergeCell ref="S28:U28"/>
    <mergeCell ref="T10:T11"/>
    <mergeCell ref="T1:V1"/>
    <mergeCell ref="A7:Q7"/>
    <mergeCell ref="T9:W9"/>
    <mergeCell ref="A10:A11"/>
    <mergeCell ref="B10:B11"/>
    <mergeCell ref="C10:C11"/>
    <mergeCell ref="U10:U11"/>
    <mergeCell ref="A2:V2"/>
    <mergeCell ref="A3:V3"/>
    <mergeCell ref="A5:V5"/>
  </mergeCells>
  <printOptions horizontalCentered="1"/>
  <pageMargins left="0.43" right="0.21" top="1.97" bottom="0" header="1.27" footer="0.31496062992125984"/>
  <pageSetup fitToHeight="1" fitToWidth="1" horizontalDpi="600" verticalDpi="600" orientation="landscape" paperSize="9" scale="6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view="pageBreakPreview" zoomScaleSheetLayoutView="100" zoomScalePageLayoutView="0" workbookViewId="0" topLeftCell="A1">
      <selection activeCell="H26" sqref="H26:I26"/>
    </sheetView>
  </sheetViews>
  <sheetFormatPr defaultColWidth="9.140625" defaultRowHeight="12.75"/>
  <cols>
    <col min="1" max="1" width="5.421875" style="16" customWidth="1"/>
    <col min="2" max="2" width="13.57421875" style="16" customWidth="1"/>
    <col min="3" max="3" width="17.57421875" style="16" customWidth="1"/>
    <col min="4" max="4" width="17.8515625" style="16" customWidth="1"/>
    <col min="5" max="5" width="18.8515625" style="16" customWidth="1"/>
    <col min="6" max="6" width="19.28125" style="16" customWidth="1"/>
    <col min="7" max="7" width="22.57421875" style="16" customWidth="1"/>
    <col min="8" max="8" width="17.140625" style="16" customWidth="1"/>
    <col min="9" max="9" width="24.8515625" style="16" customWidth="1"/>
    <col min="10" max="16384" width="9.140625" style="16" customWidth="1"/>
  </cols>
  <sheetData>
    <row r="1" spans="9:10" ht="15">
      <c r="I1" s="42" t="s">
        <v>62</v>
      </c>
      <c r="J1" s="44"/>
    </row>
    <row r="2" spans="1:10" ht="15">
      <c r="A2" s="772" t="s">
        <v>0</v>
      </c>
      <c r="B2" s="772"/>
      <c r="C2" s="772"/>
      <c r="D2" s="772"/>
      <c r="E2" s="772"/>
      <c r="F2" s="772"/>
      <c r="G2" s="772"/>
      <c r="H2" s="772"/>
      <c r="I2" s="772"/>
      <c r="J2" s="46"/>
    </row>
    <row r="3" spans="1:10" ht="20.25">
      <c r="A3" s="701" t="s">
        <v>878</v>
      </c>
      <c r="B3" s="701"/>
      <c r="C3" s="701"/>
      <c r="D3" s="701"/>
      <c r="E3" s="701"/>
      <c r="F3" s="701"/>
      <c r="G3" s="701"/>
      <c r="H3" s="701"/>
      <c r="I3" s="701"/>
      <c r="J3" s="45"/>
    </row>
    <row r="4" ht="10.5" customHeight="1"/>
    <row r="5" spans="1:9" ht="12.75" customHeight="1">
      <c r="A5" s="840" t="s">
        <v>908</v>
      </c>
      <c r="B5" s="840"/>
      <c r="C5" s="840"/>
      <c r="D5" s="840"/>
      <c r="E5" s="840"/>
      <c r="F5" s="840"/>
      <c r="G5" s="840"/>
      <c r="H5" s="840"/>
      <c r="I5" s="840"/>
    </row>
    <row r="7" ht="0.75" customHeight="1"/>
    <row r="8" spans="1:9" ht="12.75">
      <c r="A8" s="15" t="s">
        <v>497</v>
      </c>
      <c r="I8" s="30" t="s">
        <v>20</v>
      </c>
    </row>
    <row r="9" spans="4:22" ht="12.75">
      <c r="D9" s="763" t="s">
        <v>929</v>
      </c>
      <c r="E9" s="763"/>
      <c r="F9" s="763"/>
      <c r="G9" s="763"/>
      <c r="H9" s="763"/>
      <c r="I9" s="763"/>
      <c r="U9" s="19"/>
      <c r="V9" s="21"/>
    </row>
    <row r="10" spans="1:9" s="273" customFormat="1" ht="52.5" customHeight="1">
      <c r="A10" s="257" t="s">
        <v>496</v>
      </c>
      <c r="B10" s="257" t="s">
        <v>3</v>
      </c>
      <c r="C10" s="261" t="s">
        <v>906</v>
      </c>
      <c r="D10" s="261" t="s">
        <v>935</v>
      </c>
      <c r="E10" s="261" t="s">
        <v>109</v>
      </c>
      <c r="F10" s="257" t="s">
        <v>221</v>
      </c>
      <c r="G10" s="261" t="s">
        <v>869</v>
      </c>
      <c r="H10" s="261" t="s">
        <v>156</v>
      </c>
      <c r="I10" s="284" t="s">
        <v>927</v>
      </c>
    </row>
    <row r="11" spans="1:9" s="541" customFormat="1" ht="15.75" customHeight="1">
      <c r="A11" s="539">
        <v>1</v>
      </c>
      <c r="B11" s="540">
        <v>2</v>
      </c>
      <c r="C11" s="539">
        <v>3</v>
      </c>
      <c r="D11" s="540">
        <v>4</v>
      </c>
      <c r="E11" s="539">
        <v>5</v>
      </c>
      <c r="F11" s="539">
        <v>6</v>
      </c>
      <c r="G11" s="540">
        <v>7</v>
      </c>
      <c r="H11" s="539">
        <v>8</v>
      </c>
      <c r="I11" s="540">
        <v>9</v>
      </c>
    </row>
    <row r="12" spans="1:11" ht="15" customHeight="1">
      <c r="A12" s="8">
        <v>1</v>
      </c>
      <c r="B12" s="19" t="s">
        <v>473</v>
      </c>
      <c r="C12" s="323">
        <f>184.21*'T6B_Pay_FG_FCI_Pry'!C14/292.4</f>
        <v>35.66391279069768</v>
      </c>
      <c r="D12" s="323">
        <f>10.96*C12/184.21</f>
        <v>2.1219069767441865</v>
      </c>
      <c r="E12" s="323">
        <f>162.79*C12/184.21</f>
        <v>31.5169011627907</v>
      </c>
      <c r="F12" s="527">
        <v>0</v>
      </c>
      <c r="G12" s="404">
        <v>1890</v>
      </c>
      <c r="H12" s="323">
        <f>'T6B_Pay_FG_FCI_Pry'!F14*'AT9_TA'!G12/100000</f>
        <v>22.594519096533094</v>
      </c>
      <c r="I12" s="323">
        <f>D12+E12+F12-H12</f>
        <v>11.044289043001793</v>
      </c>
      <c r="K12" s="338"/>
    </row>
    <row r="13" spans="1:11" ht="12.75">
      <c r="A13" s="8">
        <v>2</v>
      </c>
      <c r="B13" s="19" t="s">
        <v>474</v>
      </c>
      <c r="C13" s="323">
        <f>184.21*'T6B_Pay_FG_FCI_Pry'!C15/292.4</f>
        <v>24.179137482900142</v>
      </c>
      <c r="D13" s="323">
        <f aca="true" t="shared" si="0" ref="D13:D19">10.96*C13/184.21</f>
        <v>1.4385937072503423</v>
      </c>
      <c r="E13" s="323">
        <f aca="true" t="shared" si="1" ref="E13:E19">162.79*C13/184.21</f>
        <v>21.367579343365257</v>
      </c>
      <c r="F13" s="527">
        <v>0</v>
      </c>
      <c r="G13" s="404">
        <v>1890</v>
      </c>
      <c r="H13" s="323">
        <f>'T6B_Pay_FG_FCI_Pry'!F15*'AT9_TA'!G13/100000</f>
        <v>15.319106035874034</v>
      </c>
      <c r="I13" s="323">
        <f aca="true" t="shared" si="2" ref="I13:I19">D13+E13+F13-H13</f>
        <v>7.487067014741564</v>
      </c>
      <c r="K13" s="338"/>
    </row>
    <row r="14" spans="1:11" ht="12" customHeight="1">
      <c r="A14" s="8">
        <v>3</v>
      </c>
      <c r="B14" s="19" t="s">
        <v>475</v>
      </c>
      <c r="C14" s="323">
        <f>184.21*'T6B_Pay_FG_FCI_Pry'!C16/292.4</f>
        <v>14.830038987688098</v>
      </c>
      <c r="D14" s="323">
        <f t="shared" si="0"/>
        <v>0.8823474692202463</v>
      </c>
      <c r="E14" s="323">
        <f t="shared" si="1"/>
        <v>13.10559712722298</v>
      </c>
      <c r="F14" s="527">
        <v>0</v>
      </c>
      <c r="G14" s="404">
        <v>1890</v>
      </c>
      <c r="H14" s="323">
        <f>'T6B_Pay_FG_FCI_Pry'!F16*'AT9_TA'!G14/100000</f>
        <v>9.395938638394775</v>
      </c>
      <c r="I14" s="323">
        <f t="shared" si="2"/>
        <v>4.592005958048452</v>
      </c>
      <c r="K14" s="338"/>
    </row>
    <row r="15" spans="1:11" ht="12.75">
      <c r="A15" s="8">
        <v>4</v>
      </c>
      <c r="B15" s="19" t="s">
        <v>476</v>
      </c>
      <c r="C15" s="323">
        <f>184.21*'T6B_Pay_FG_FCI_Pry'!C17/292.4</f>
        <v>21.274869015047884</v>
      </c>
      <c r="D15" s="323">
        <f t="shared" si="0"/>
        <v>1.2657975376196993</v>
      </c>
      <c r="E15" s="323">
        <f t="shared" si="1"/>
        <v>18.80102017783858</v>
      </c>
      <c r="F15" s="527">
        <v>0</v>
      </c>
      <c r="G15" s="404">
        <v>1890</v>
      </c>
      <c r="H15" s="323">
        <f>'T6B_Pay_FG_FCI_Pry'!F17*'AT9_TA'!G15/100000</f>
        <v>13.479377214783936</v>
      </c>
      <c r="I15" s="323">
        <f t="shared" si="2"/>
        <v>6.5874405006743455</v>
      </c>
      <c r="K15" s="338"/>
    </row>
    <row r="16" spans="1:11" ht="12.75">
      <c r="A16" s="8">
        <v>5</v>
      </c>
      <c r="B16" s="19" t="s">
        <v>477</v>
      </c>
      <c r="C16" s="323">
        <f>184.21*'T6B_Pay_FG_FCI_Pry'!C18/292.4</f>
        <v>22.604154582763343</v>
      </c>
      <c r="D16" s="323">
        <f t="shared" si="0"/>
        <v>1.344886456908345</v>
      </c>
      <c r="E16" s="323">
        <f t="shared" si="1"/>
        <v>19.97573597811218</v>
      </c>
      <c r="F16" s="527">
        <v>0</v>
      </c>
      <c r="G16" s="404">
        <v>1890</v>
      </c>
      <c r="H16" s="323">
        <f>'T6B_Pay_FG_FCI_Pry'!F18*'AT9_TA'!G16/100000</f>
        <v>14.331633000957009</v>
      </c>
      <c r="I16" s="323">
        <f t="shared" si="2"/>
        <v>6.988989434063516</v>
      </c>
      <c r="K16" s="338"/>
    </row>
    <row r="17" spans="1:11" ht="12.75" customHeight="1">
      <c r="A17" s="8">
        <v>6</v>
      </c>
      <c r="B17" s="19" t="s">
        <v>478</v>
      </c>
      <c r="C17" s="323">
        <f>184.21*'T6B_Pay_FG_FCI_Pry'!C19/292.4</f>
        <v>16.757818057455545</v>
      </c>
      <c r="D17" s="323">
        <f t="shared" si="0"/>
        <v>0.9970451436388511</v>
      </c>
      <c r="E17" s="323">
        <f t="shared" si="1"/>
        <v>14.809213406292752</v>
      </c>
      <c r="F17" s="527">
        <v>0</v>
      </c>
      <c r="G17" s="404">
        <v>1890</v>
      </c>
      <c r="H17" s="323">
        <f>'T6B_Pay_FG_FCI_Pry'!F19*'AT9_TA'!G17/100000</f>
        <v>10.614823142021654</v>
      </c>
      <c r="I17" s="323">
        <f t="shared" si="2"/>
        <v>5.19143540790995</v>
      </c>
      <c r="K17" s="338"/>
    </row>
    <row r="18" spans="1:11" ht="12.75" customHeight="1">
      <c r="A18" s="8">
        <v>7</v>
      </c>
      <c r="B18" s="19" t="s">
        <v>479</v>
      </c>
      <c r="C18" s="323">
        <f>184.21*'T6B_Pay_FG_FCI_Pry'!C20/292.4</f>
        <v>25.37612448700411</v>
      </c>
      <c r="D18" s="323">
        <f t="shared" si="0"/>
        <v>1.5098112175102603</v>
      </c>
      <c r="E18" s="323">
        <f t="shared" si="1"/>
        <v>22.425380300957595</v>
      </c>
      <c r="F18" s="527">
        <v>0</v>
      </c>
      <c r="G18" s="404">
        <v>1890</v>
      </c>
      <c r="H18" s="323">
        <f>'T6B_Pay_FG_FCI_Pry'!F20*'AT9_TA'!G18/100000</f>
        <v>16.04815268400089</v>
      </c>
      <c r="I18" s="323">
        <f t="shared" si="2"/>
        <v>7.887038834466967</v>
      </c>
      <c r="K18" s="338"/>
    </row>
    <row r="19" spans="1:11" ht="12.75">
      <c r="A19" s="8">
        <v>8</v>
      </c>
      <c r="B19" s="19" t="s">
        <v>480</v>
      </c>
      <c r="C19" s="323">
        <f>184.21*'T6B_Pay_FG_FCI_Pry'!C21/292.4</f>
        <v>23.523944596443233</v>
      </c>
      <c r="D19" s="323">
        <f t="shared" si="0"/>
        <v>1.3996114911080715</v>
      </c>
      <c r="E19" s="323">
        <f t="shared" si="1"/>
        <v>20.788572503419974</v>
      </c>
      <c r="F19" s="527">
        <v>0</v>
      </c>
      <c r="G19" s="404">
        <v>1890</v>
      </c>
      <c r="H19" s="323">
        <f>'T6B_Pay_FG_FCI_Pry'!F21*'AT9_TA'!G19/100000</f>
        <v>14.876322187434612</v>
      </c>
      <c r="I19" s="323">
        <f t="shared" si="2"/>
        <v>7.311861807093434</v>
      </c>
      <c r="K19" s="338"/>
    </row>
    <row r="20" spans="1:11" ht="12.75">
      <c r="A20" s="3"/>
      <c r="B20" s="27" t="s">
        <v>481</v>
      </c>
      <c r="C20" s="323">
        <f>SUM(C12:C19)</f>
        <v>184.21000000000006</v>
      </c>
      <c r="D20" s="323">
        <f>SUM(D12:D19)</f>
        <v>10.96</v>
      </c>
      <c r="E20" s="323">
        <f>SUM(E12:E19)</f>
        <v>162.79000000000002</v>
      </c>
      <c r="F20" s="323">
        <f>SUM(F12:F19)</f>
        <v>0</v>
      </c>
      <c r="G20" s="19"/>
      <c r="H20" s="323">
        <f>SUM(H12:H19)</f>
        <v>116.659872</v>
      </c>
      <c r="I20" s="323">
        <f>SUM(I12:I19)</f>
        <v>57.09012800000002</v>
      </c>
      <c r="K20" s="338"/>
    </row>
    <row r="21" spans="5:9" ht="12.75">
      <c r="E21" s="28"/>
      <c r="F21" s="28"/>
      <c r="G21" s="28"/>
      <c r="H21" s="21"/>
      <c r="I21" s="21"/>
    </row>
    <row r="22" spans="3:9" ht="12.75">
      <c r="C22" s="16" t="s">
        <v>11</v>
      </c>
      <c r="E22" s="28"/>
      <c r="F22" s="28"/>
      <c r="G22" s="28"/>
      <c r="H22" s="21"/>
      <c r="I22" s="21" t="s">
        <v>11</v>
      </c>
    </row>
    <row r="23" spans="5:9" ht="12.75">
      <c r="E23" s="491"/>
      <c r="F23" s="491"/>
      <c r="G23" s="491" t="s">
        <v>11</v>
      </c>
      <c r="H23" s="28" t="s">
        <v>11</v>
      </c>
      <c r="I23" s="21"/>
    </row>
    <row r="24" spans="1:10" ht="12.75">
      <c r="A24" s="31" t="s">
        <v>12</v>
      </c>
      <c r="E24" s="491"/>
      <c r="F24" s="491"/>
      <c r="G24" s="345" t="s">
        <v>11</v>
      </c>
      <c r="H24" s="778" t="s">
        <v>815</v>
      </c>
      <c r="I24" s="778"/>
      <c r="J24" s="33"/>
    </row>
    <row r="25" spans="5:9" ht="12.75">
      <c r="E25" s="491"/>
      <c r="F25" s="491"/>
      <c r="G25" s="492" t="s">
        <v>11</v>
      </c>
      <c r="H25" s="699" t="s">
        <v>1062</v>
      </c>
      <c r="I25" s="699"/>
    </row>
    <row r="26" spans="5:9" ht="12.75">
      <c r="E26" s="491"/>
      <c r="F26" s="491"/>
      <c r="G26" s="492" t="s">
        <v>11</v>
      </c>
      <c r="H26" s="699" t="s">
        <v>660</v>
      </c>
      <c r="I26" s="699"/>
    </row>
    <row r="27" spans="5:12" ht="12.75">
      <c r="E27" s="491"/>
      <c r="F27" s="491"/>
      <c r="G27" s="345"/>
      <c r="H27" s="31" t="s">
        <v>80</v>
      </c>
      <c r="I27" s="31"/>
      <c r="J27" s="447"/>
      <c r="K27" s="447"/>
      <c r="L27" s="447"/>
    </row>
    <row r="28" spans="5:7" ht="12.75">
      <c r="E28" s="491"/>
      <c r="F28" s="491"/>
      <c r="G28" s="345"/>
    </row>
    <row r="29" spans="5:7" ht="12.75">
      <c r="E29" s="491"/>
      <c r="F29" s="491"/>
      <c r="G29" s="345"/>
    </row>
    <row r="30" spans="5:7" ht="12.75">
      <c r="E30" s="491"/>
      <c r="F30" s="491"/>
      <c r="G30" s="345"/>
    </row>
    <row r="31" spans="5:7" ht="12.75">
      <c r="E31" s="491"/>
      <c r="F31" s="491"/>
      <c r="G31" s="345"/>
    </row>
  </sheetData>
  <sheetProtection/>
  <mergeCells count="7">
    <mergeCell ref="H26:I26"/>
    <mergeCell ref="A2:I2"/>
    <mergeCell ref="A3:I3"/>
    <mergeCell ref="D9:I9"/>
    <mergeCell ref="A5:I5"/>
    <mergeCell ref="H24:I24"/>
    <mergeCell ref="H25:I25"/>
  </mergeCells>
  <printOptions horizontalCentered="1"/>
  <pageMargins left="0.48" right="0.28" top="1.41" bottom="0" header="0.87" footer="0.31496062992125984"/>
  <pageSetup fitToHeight="1" fitToWidth="1" horizontalDpi="600" verticalDpi="600" orientation="landscape" paperSize="9" scale="90" r:id="rId1"/>
  <colBreaks count="1" manualBreakCount="1">
    <brk id="9" max="32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90" zoomScaleSheetLayoutView="90" zoomScalePageLayoutView="0" workbookViewId="0" topLeftCell="A8">
      <selection activeCell="G29" sqref="G29:H29"/>
    </sheetView>
  </sheetViews>
  <sheetFormatPr defaultColWidth="9.140625" defaultRowHeight="12.75"/>
  <cols>
    <col min="1" max="1" width="4.421875" style="16" customWidth="1"/>
    <col min="2" max="2" width="44.421875" style="16" customWidth="1"/>
    <col min="3" max="3" width="12.28125" style="16" customWidth="1"/>
    <col min="4" max="5" width="15.140625" style="16" customWidth="1"/>
    <col min="6" max="6" width="15.8515625" style="16" customWidth="1"/>
    <col min="7" max="7" width="12.57421875" style="16" customWidth="1"/>
    <col min="8" max="8" width="20.421875" style="16" customWidth="1"/>
    <col min="9" max="16384" width="9.140625" style="16" customWidth="1"/>
  </cols>
  <sheetData>
    <row r="1" spans="4:14" ht="15">
      <c r="D1" s="31"/>
      <c r="E1" s="31"/>
      <c r="F1" s="31"/>
      <c r="H1" s="42" t="s">
        <v>63</v>
      </c>
      <c r="I1" s="31"/>
      <c r="M1" s="44"/>
      <c r="N1" s="44"/>
    </row>
    <row r="2" spans="1:14" ht="15">
      <c r="A2" s="772" t="s">
        <v>0</v>
      </c>
      <c r="B2" s="772"/>
      <c r="C2" s="772"/>
      <c r="D2" s="772"/>
      <c r="E2" s="772"/>
      <c r="F2" s="772"/>
      <c r="G2" s="772"/>
      <c r="H2" s="772"/>
      <c r="I2" s="46"/>
      <c r="J2" s="46"/>
      <c r="K2" s="46"/>
      <c r="L2" s="46"/>
      <c r="M2" s="46"/>
      <c r="N2" s="46"/>
    </row>
    <row r="3" spans="1:14" ht="20.25">
      <c r="A3" s="701" t="s">
        <v>878</v>
      </c>
      <c r="B3" s="701"/>
      <c r="C3" s="701"/>
      <c r="D3" s="701"/>
      <c r="E3" s="701"/>
      <c r="F3" s="701"/>
      <c r="G3" s="701"/>
      <c r="H3" s="701"/>
      <c r="I3" s="45"/>
      <c r="J3" s="45"/>
      <c r="K3" s="45"/>
      <c r="L3" s="45"/>
      <c r="M3" s="45"/>
      <c r="N3" s="45"/>
    </row>
    <row r="4" ht="10.5" customHeight="1"/>
    <row r="5" spans="1:8" ht="19.5" customHeight="1">
      <c r="A5" s="702" t="s">
        <v>909</v>
      </c>
      <c r="B5" s="772"/>
      <c r="C5" s="772"/>
      <c r="D5" s="772"/>
      <c r="E5" s="772"/>
      <c r="F5" s="772"/>
      <c r="G5" s="772"/>
      <c r="H5" s="772"/>
    </row>
    <row r="7" spans="1:10" s="14" customFormat="1" ht="15.75" customHeight="1" hidden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9" s="14" customFormat="1" ht="15.75">
      <c r="A8" s="668" t="s">
        <v>472</v>
      </c>
      <c r="B8" s="668"/>
      <c r="C8" s="16"/>
      <c r="D8" s="16"/>
      <c r="E8" s="16"/>
      <c r="F8" s="16"/>
      <c r="G8" s="16"/>
      <c r="H8" s="30" t="s">
        <v>24</v>
      </c>
      <c r="I8" s="16"/>
    </row>
    <row r="9" spans="1:20" s="14" customFormat="1" ht="15.75">
      <c r="A9" s="15"/>
      <c r="B9" s="16"/>
      <c r="C9" s="16"/>
      <c r="D9" s="103"/>
      <c r="E9" s="103"/>
      <c r="G9" s="103" t="s">
        <v>929</v>
      </c>
      <c r="H9" s="103"/>
      <c r="J9" s="103"/>
      <c r="K9" s="103"/>
      <c r="L9" s="103"/>
      <c r="S9" s="120"/>
      <c r="T9" s="119"/>
    </row>
    <row r="10" spans="1:8" s="286" customFormat="1" ht="55.5" customHeight="1">
      <c r="A10" s="285" t="s">
        <v>498</v>
      </c>
      <c r="B10" s="257" t="s">
        <v>25</v>
      </c>
      <c r="C10" s="257" t="s">
        <v>910</v>
      </c>
      <c r="D10" s="257" t="s">
        <v>935</v>
      </c>
      <c r="E10" s="257" t="s">
        <v>220</v>
      </c>
      <c r="F10" s="257" t="s">
        <v>221</v>
      </c>
      <c r="G10" s="257" t="s">
        <v>69</v>
      </c>
      <c r="H10" s="257" t="s">
        <v>928</v>
      </c>
    </row>
    <row r="11" spans="1:8" s="538" customFormat="1" ht="14.25" customHeight="1">
      <c r="A11" s="285">
        <v>1</v>
      </c>
      <c r="B11" s="257">
        <v>2</v>
      </c>
      <c r="C11" s="295">
        <v>3</v>
      </c>
      <c r="D11" s="295">
        <v>4</v>
      </c>
      <c r="E11" s="295">
        <v>5</v>
      </c>
      <c r="F11" s="295">
        <v>6</v>
      </c>
      <c r="G11" s="295">
        <v>7</v>
      </c>
      <c r="H11" s="295">
        <v>8</v>
      </c>
    </row>
    <row r="12" spans="1:8" ht="12.75" customHeight="1">
      <c r="A12" s="34" t="s">
        <v>26</v>
      </c>
      <c r="B12" s="27" t="s">
        <v>27</v>
      </c>
      <c r="C12" s="841">
        <v>72.84</v>
      </c>
      <c r="D12" s="841">
        <v>0</v>
      </c>
      <c r="E12" s="841">
        <v>72.47</v>
      </c>
      <c r="F12" s="841">
        <v>0</v>
      </c>
      <c r="G12" s="841">
        <v>41.25</v>
      </c>
      <c r="H12" s="841">
        <f>D16+E16-G16</f>
        <v>31.22</v>
      </c>
    </row>
    <row r="13" spans="1:8" ht="12.75">
      <c r="A13" s="35"/>
      <c r="B13" s="19" t="s">
        <v>28</v>
      </c>
      <c r="C13" s="842"/>
      <c r="D13" s="842"/>
      <c r="E13" s="842"/>
      <c r="F13" s="842"/>
      <c r="G13" s="842"/>
      <c r="H13" s="842"/>
    </row>
    <row r="14" spans="1:8" ht="12.75">
      <c r="A14" s="35"/>
      <c r="B14" s="19" t="s">
        <v>185</v>
      </c>
      <c r="C14" s="842"/>
      <c r="D14" s="842"/>
      <c r="E14" s="842"/>
      <c r="F14" s="842"/>
      <c r="G14" s="842"/>
      <c r="H14" s="842"/>
    </row>
    <row r="15" spans="1:8" s="33" customFormat="1" ht="25.5">
      <c r="A15" s="36"/>
      <c r="B15" s="37" t="s">
        <v>186</v>
      </c>
      <c r="C15" s="843"/>
      <c r="D15" s="843"/>
      <c r="E15" s="843"/>
      <c r="F15" s="843"/>
      <c r="G15" s="843"/>
      <c r="H15" s="843"/>
    </row>
    <row r="16" spans="1:8" s="33" customFormat="1" ht="12.75">
      <c r="A16" s="36"/>
      <c r="B16" s="38" t="s">
        <v>29</v>
      </c>
      <c r="C16" s="341">
        <f>SUM(C12)</f>
        <v>72.84</v>
      </c>
      <c r="D16" s="341">
        <f>SUM(D12)</f>
        <v>0</v>
      </c>
      <c r="E16" s="341">
        <f>SUM(E12)</f>
        <v>72.47</v>
      </c>
      <c r="F16" s="341">
        <f>SUM(F12)</f>
        <v>0</v>
      </c>
      <c r="G16" s="341">
        <f>G12</f>
        <v>41.25</v>
      </c>
      <c r="H16" s="341">
        <f>SUM(H12)</f>
        <v>31.22</v>
      </c>
    </row>
    <row r="17" spans="1:8" s="33" customFormat="1" ht="25.5">
      <c r="A17" s="32" t="s">
        <v>30</v>
      </c>
      <c r="B17" s="38" t="s">
        <v>219</v>
      </c>
      <c r="C17" s="844">
        <v>72.84</v>
      </c>
      <c r="D17" s="844">
        <v>0</v>
      </c>
      <c r="E17" s="844">
        <v>72.47</v>
      </c>
      <c r="F17" s="844">
        <v>0</v>
      </c>
      <c r="G17" s="844">
        <v>41.26</v>
      </c>
      <c r="H17" s="844">
        <f>D25+E25-G25</f>
        <v>31.21</v>
      </c>
    </row>
    <row r="18" spans="1:8" ht="12.75">
      <c r="A18" s="35"/>
      <c r="B18" s="142" t="s">
        <v>188</v>
      </c>
      <c r="C18" s="845"/>
      <c r="D18" s="845"/>
      <c r="E18" s="845"/>
      <c r="F18" s="845"/>
      <c r="G18" s="845"/>
      <c r="H18" s="845"/>
    </row>
    <row r="19" spans="1:8" ht="12.75">
      <c r="A19" s="35"/>
      <c r="B19" s="37" t="s">
        <v>31</v>
      </c>
      <c r="C19" s="845"/>
      <c r="D19" s="845"/>
      <c r="E19" s="845"/>
      <c r="F19" s="845"/>
      <c r="G19" s="845"/>
      <c r="H19" s="845"/>
    </row>
    <row r="20" spans="1:8" ht="12.75">
      <c r="A20" s="35"/>
      <c r="B20" s="37" t="s">
        <v>189</v>
      </c>
      <c r="C20" s="845"/>
      <c r="D20" s="845"/>
      <c r="E20" s="845"/>
      <c r="F20" s="845"/>
      <c r="G20" s="845"/>
      <c r="H20" s="845"/>
    </row>
    <row r="21" spans="1:8" s="33" customFormat="1" ht="12.75">
      <c r="A21" s="36"/>
      <c r="B21" s="37" t="s">
        <v>32</v>
      </c>
      <c r="C21" s="845"/>
      <c r="D21" s="845"/>
      <c r="E21" s="845"/>
      <c r="F21" s="845"/>
      <c r="G21" s="845"/>
      <c r="H21" s="845"/>
    </row>
    <row r="22" spans="1:8" s="33" customFormat="1" ht="12.75">
      <c r="A22" s="36"/>
      <c r="B22" s="37" t="s">
        <v>187</v>
      </c>
      <c r="C22" s="845"/>
      <c r="D22" s="845"/>
      <c r="E22" s="845"/>
      <c r="F22" s="845"/>
      <c r="G22" s="845"/>
      <c r="H22" s="845"/>
    </row>
    <row r="23" spans="1:8" s="33" customFormat="1" ht="12.75">
      <c r="A23" s="36"/>
      <c r="B23" s="37" t="s">
        <v>190</v>
      </c>
      <c r="C23" s="845"/>
      <c r="D23" s="845"/>
      <c r="E23" s="845"/>
      <c r="F23" s="845"/>
      <c r="G23" s="845"/>
      <c r="H23" s="845"/>
    </row>
    <row r="24" spans="1:8" s="33" customFormat="1" ht="12.75">
      <c r="A24" s="32"/>
      <c r="B24" s="37" t="s">
        <v>191</v>
      </c>
      <c r="C24" s="846"/>
      <c r="D24" s="846"/>
      <c r="E24" s="846"/>
      <c r="F24" s="846"/>
      <c r="G24" s="846"/>
      <c r="H24" s="846"/>
    </row>
    <row r="25" spans="1:8" s="33" customFormat="1" ht="12.75">
      <c r="A25" s="150"/>
      <c r="B25" s="225" t="s">
        <v>29</v>
      </c>
      <c r="C25" s="342">
        <f>SUM(C17)</f>
        <v>72.84</v>
      </c>
      <c r="D25" s="342">
        <f>SUM(D17)</f>
        <v>0</v>
      </c>
      <c r="E25" s="342">
        <f>SUM(E17)</f>
        <v>72.47</v>
      </c>
      <c r="F25" s="342">
        <f>SUM(F17)</f>
        <v>0</v>
      </c>
      <c r="G25" s="342">
        <f>G17</f>
        <v>41.26</v>
      </c>
      <c r="H25" s="342">
        <f>SUM(H17)</f>
        <v>31.21</v>
      </c>
    </row>
    <row r="26" spans="1:8" ht="13.5" thickBot="1">
      <c r="A26" s="39"/>
      <c r="B26" s="40" t="s">
        <v>33</v>
      </c>
      <c r="C26" s="341">
        <f aca="true" t="shared" si="0" ref="C26:H26">C25+C16</f>
        <v>145.68</v>
      </c>
      <c r="D26" s="341">
        <f t="shared" si="0"/>
        <v>0</v>
      </c>
      <c r="E26" s="341">
        <f t="shared" si="0"/>
        <v>144.94</v>
      </c>
      <c r="F26" s="341">
        <f t="shared" si="0"/>
        <v>0</v>
      </c>
      <c r="G26" s="341">
        <f t="shared" si="0"/>
        <v>82.50999999999999</v>
      </c>
      <c r="H26" s="341">
        <f t="shared" si="0"/>
        <v>62.43</v>
      </c>
    </row>
    <row r="27" s="33" customFormat="1" ht="15.75" customHeight="1"/>
    <row r="28" s="33" customFormat="1" ht="16.5" customHeight="1">
      <c r="G28" s="33">
        <f>G26/C26</f>
        <v>0.5663783635365183</v>
      </c>
    </row>
    <row r="29" spans="2:8" ht="12.75" customHeight="1">
      <c r="B29" s="15" t="s">
        <v>12</v>
      </c>
      <c r="C29" s="15"/>
      <c r="D29" s="15"/>
      <c r="E29" s="15"/>
      <c r="F29" s="15"/>
      <c r="G29" s="699"/>
      <c r="H29" s="699"/>
    </row>
    <row r="30" spans="3:8" ht="13.5" customHeight="1">
      <c r="C30" s="86"/>
      <c r="D30" s="86"/>
      <c r="E30" s="86"/>
      <c r="F30" s="699" t="s">
        <v>1062</v>
      </c>
      <c r="G30" s="699"/>
      <c r="H30" s="699"/>
    </row>
    <row r="31" spans="3:8" ht="12" customHeight="1">
      <c r="C31" s="86"/>
      <c r="D31" s="86"/>
      <c r="E31" s="86"/>
      <c r="F31" s="699" t="s">
        <v>485</v>
      </c>
      <c r="G31" s="699"/>
      <c r="H31" s="699"/>
    </row>
    <row r="32" spans="2:10" ht="12.75">
      <c r="B32" s="15"/>
      <c r="C32" s="15"/>
      <c r="D32" s="15"/>
      <c r="E32" s="15"/>
      <c r="F32" s="15"/>
      <c r="G32" s="668" t="s">
        <v>80</v>
      </c>
      <c r="H32" s="668"/>
      <c r="I32" s="668"/>
      <c r="J32" s="668"/>
    </row>
  </sheetData>
  <sheetProtection/>
  <mergeCells count="20">
    <mergeCell ref="F30:H30"/>
    <mergeCell ref="F31:H31"/>
    <mergeCell ref="G29:H29"/>
    <mergeCell ref="G17:G24"/>
    <mergeCell ref="G32:J32"/>
    <mergeCell ref="A2:H2"/>
    <mergeCell ref="A3:H3"/>
    <mergeCell ref="C12:C15"/>
    <mergeCell ref="D12:D15"/>
    <mergeCell ref="F12:F15"/>
    <mergeCell ref="G12:G15"/>
    <mergeCell ref="C17:C24"/>
    <mergeCell ref="H12:H15"/>
    <mergeCell ref="A5:H5"/>
    <mergeCell ref="E12:E15"/>
    <mergeCell ref="A8:B8"/>
    <mergeCell ref="H17:H24"/>
    <mergeCell ref="D17:D24"/>
    <mergeCell ref="E17:E24"/>
    <mergeCell ref="F17:F24"/>
  </mergeCells>
  <printOptions horizontalCentered="1"/>
  <pageMargins left="0.45" right="0.18" top="0.96" bottom="0" header="0.61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0:I32"/>
  <sheetViews>
    <sheetView zoomScalePageLayoutView="0" workbookViewId="0" topLeftCell="A5">
      <selection activeCell="A6" sqref="A6"/>
    </sheetView>
  </sheetViews>
  <sheetFormatPr defaultColWidth="9.140625" defaultRowHeight="12.75"/>
  <sheetData>
    <row r="1" ht="24.75" customHeight="1"/>
    <row r="2" ht="24.75" customHeight="1"/>
    <row r="3" ht="24.75" customHeight="1"/>
    <row r="4" ht="24.75" customHeight="1"/>
    <row r="5" ht="24.75" customHeight="1"/>
    <row r="6" ht="24.75" customHeight="1"/>
    <row r="10" ht="12.75">
      <c r="B10" s="15"/>
    </row>
    <row r="11" ht="18.75" customHeight="1"/>
    <row r="12" spans="2:9" ht="12.75" customHeight="1">
      <c r="B12" s="653" t="s">
        <v>877</v>
      </c>
      <c r="C12" s="653"/>
      <c r="D12" s="653"/>
      <c r="E12" s="653"/>
      <c r="F12" s="653"/>
      <c r="G12" s="653"/>
      <c r="H12" s="653"/>
      <c r="I12" s="653"/>
    </row>
    <row r="13" spans="2:9" ht="12.75" customHeight="1">
      <c r="B13" s="653"/>
      <c r="C13" s="653"/>
      <c r="D13" s="653"/>
      <c r="E13" s="653"/>
      <c r="F13" s="653"/>
      <c r="G13" s="653"/>
      <c r="H13" s="653"/>
      <c r="I13" s="653"/>
    </row>
    <row r="14" spans="2:9" ht="12.75" customHeight="1">
      <c r="B14" s="653"/>
      <c r="C14" s="653"/>
      <c r="D14" s="653"/>
      <c r="E14" s="653"/>
      <c r="F14" s="653"/>
      <c r="G14" s="653"/>
      <c r="H14" s="653"/>
      <c r="I14" s="653"/>
    </row>
    <row r="15" spans="2:9" ht="12.75" customHeight="1">
      <c r="B15" s="653"/>
      <c r="C15" s="653"/>
      <c r="D15" s="653"/>
      <c r="E15" s="653"/>
      <c r="F15" s="653"/>
      <c r="G15" s="653"/>
      <c r="H15" s="653"/>
      <c r="I15" s="653"/>
    </row>
    <row r="16" spans="2:9" ht="12.75" customHeight="1">
      <c r="B16" s="653"/>
      <c r="C16" s="653"/>
      <c r="D16" s="653"/>
      <c r="E16" s="653"/>
      <c r="F16" s="653"/>
      <c r="G16" s="653"/>
      <c r="H16" s="653"/>
      <c r="I16" s="653"/>
    </row>
    <row r="17" spans="2:9" ht="12.75" customHeight="1">
      <c r="B17" s="653"/>
      <c r="C17" s="653"/>
      <c r="D17" s="653"/>
      <c r="E17" s="653"/>
      <c r="F17" s="653"/>
      <c r="G17" s="653"/>
      <c r="H17" s="653"/>
      <c r="I17" s="653"/>
    </row>
    <row r="18" spans="2:9" ht="12.75" customHeight="1">
      <c r="B18" s="653"/>
      <c r="C18" s="653"/>
      <c r="D18" s="653"/>
      <c r="E18" s="653"/>
      <c r="F18" s="653"/>
      <c r="G18" s="653"/>
      <c r="H18" s="653"/>
      <c r="I18" s="653"/>
    </row>
    <row r="19" spans="2:9" ht="12.75" customHeight="1">
      <c r="B19" s="653"/>
      <c r="C19" s="653"/>
      <c r="D19" s="653"/>
      <c r="E19" s="653"/>
      <c r="F19" s="653"/>
      <c r="G19" s="653"/>
      <c r="H19" s="653"/>
      <c r="I19" s="653"/>
    </row>
    <row r="20" spans="2:9" ht="12.75" customHeight="1">
      <c r="B20" s="653"/>
      <c r="C20" s="653"/>
      <c r="D20" s="653"/>
      <c r="E20" s="653"/>
      <c r="F20" s="653"/>
      <c r="G20" s="653"/>
      <c r="H20" s="653"/>
      <c r="I20" s="653"/>
    </row>
    <row r="21" spans="2:9" ht="12.75" customHeight="1">
      <c r="B21" s="653"/>
      <c r="C21" s="653"/>
      <c r="D21" s="653"/>
      <c r="E21" s="653"/>
      <c r="F21" s="653"/>
      <c r="G21" s="653"/>
      <c r="H21" s="653"/>
      <c r="I21" s="653"/>
    </row>
    <row r="22" spans="2:9" ht="12.75" customHeight="1">
      <c r="B22" s="653"/>
      <c r="C22" s="653"/>
      <c r="D22" s="653"/>
      <c r="E22" s="653"/>
      <c r="F22" s="653"/>
      <c r="G22" s="653"/>
      <c r="H22" s="653"/>
      <c r="I22" s="653"/>
    </row>
    <row r="23" spans="2:9" ht="12.75" customHeight="1">
      <c r="B23" s="653"/>
      <c r="C23" s="653"/>
      <c r="D23" s="653"/>
      <c r="E23" s="653"/>
      <c r="F23" s="653"/>
      <c r="G23" s="653"/>
      <c r="H23" s="653"/>
      <c r="I23" s="653"/>
    </row>
    <row r="24" spans="2:9" ht="12.75" customHeight="1">
      <c r="B24" s="653"/>
      <c r="C24" s="653"/>
      <c r="D24" s="653"/>
      <c r="E24" s="653"/>
      <c r="F24" s="653"/>
      <c r="G24" s="653"/>
      <c r="H24" s="653"/>
      <c r="I24" s="653"/>
    </row>
    <row r="25" spans="2:9" ht="12.75" customHeight="1">
      <c r="B25" s="653"/>
      <c r="C25" s="653"/>
      <c r="D25" s="653"/>
      <c r="E25" s="653"/>
      <c r="F25" s="653"/>
      <c r="G25" s="653"/>
      <c r="H25" s="653"/>
      <c r="I25" s="653"/>
    </row>
    <row r="26" spans="2:9" ht="12.75" customHeight="1">
      <c r="B26" s="653"/>
      <c r="C26" s="653"/>
      <c r="D26" s="653"/>
      <c r="E26" s="653"/>
      <c r="F26" s="653"/>
      <c r="G26" s="653"/>
      <c r="H26" s="653"/>
      <c r="I26" s="653"/>
    </row>
    <row r="27" spans="2:9" ht="12.75" customHeight="1">
      <c r="B27" s="653"/>
      <c r="C27" s="653"/>
      <c r="D27" s="653"/>
      <c r="E27" s="653"/>
      <c r="F27" s="653"/>
      <c r="G27" s="653"/>
      <c r="H27" s="653"/>
      <c r="I27" s="653"/>
    </row>
    <row r="28" spans="2:9" ht="12.75">
      <c r="B28" s="653"/>
      <c r="C28" s="653"/>
      <c r="D28" s="653"/>
      <c r="E28" s="653"/>
      <c r="F28" s="653"/>
      <c r="G28" s="653"/>
      <c r="H28" s="653"/>
      <c r="I28" s="653"/>
    </row>
    <row r="29" spans="2:9" ht="12.75">
      <c r="B29" s="653"/>
      <c r="C29" s="653"/>
      <c r="D29" s="653"/>
      <c r="E29" s="653"/>
      <c r="F29" s="653"/>
      <c r="G29" s="653"/>
      <c r="H29" s="653"/>
      <c r="I29" s="653"/>
    </row>
    <row r="30" spans="2:9" ht="12.75">
      <c r="B30" s="653"/>
      <c r="C30" s="653"/>
      <c r="D30" s="653"/>
      <c r="E30" s="653"/>
      <c r="F30" s="653"/>
      <c r="G30" s="653"/>
      <c r="H30" s="653"/>
      <c r="I30" s="653"/>
    </row>
    <row r="31" spans="2:9" ht="12.75">
      <c r="B31" s="653"/>
      <c r="C31" s="653"/>
      <c r="D31" s="653"/>
      <c r="E31" s="653"/>
      <c r="F31" s="653"/>
      <c r="G31" s="653"/>
      <c r="H31" s="653"/>
      <c r="I31" s="653"/>
    </row>
    <row r="32" spans="2:9" ht="12.75">
      <c r="B32" s="653"/>
      <c r="C32" s="653"/>
      <c r="D32" s="653"/>
      <c r="E32" s="653"/>
      <c r="F32" s="653"/>
      <c r="G32" s="653"/>
      <c r="H32" s="653"/>
      <c r="I32" s="653"/>
    </row>
  </sheetData>
  <sheetProtection/>
  <mergeCells count="1">
    <mergeCell ref="B12:I3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4">
      <selection activeCell="C21" sqref="C21"/>
    </sheetView>
  </sheetViews>
  <sheetFormatPr defaultColWidth="9.140625" defaultRowHeight="12.75"/>
  <cols>
    <col min="1" max="1" width="7.8515625" style="16" customWidth="1"/>
    <col min="2" max="2" width="19.57421875" style="16" customWidth="1"/>
    <col min="3" max="3" width="34.140625" style="16" customWidth="1"/>
    <col min="4" max="4" width="35.421875" style="16" customWidth="1"/>
    <col min="5" max="5" width="30.28125" style="16" customWidth="1"/>
    <col min="6" max="16384" width="9.140625" style="16" customWidth="1"/>
  </cols>
  <sheetData>
    <row r="1" spans="5:6" ht="15">
      <c r="E1" s="42" t="s">
        <v>629</v>
      </c>
      <c r="F1" s="44"/>
    </row>
    <row r="2" spans="1:6" ht="15">
      <c r="A2" s="772" t="s">
        <v>0</v>
      </c>
      <c r="B2" s="772"/>
      <c r="C2" s="772"/>
      <c r="D2" s="772"/>
      <c r="E2" s="772"/>
      <c r="F2" s="46"/>
    </row>
    <row r="3" spans="2:6" ht="20.25">
      <c r="B3" s="151"/>
      <c r="C3" s="701" t="s">
        <v>878</v>
      </c>
      <c r="D3" s="701"/>
      <c r="E3" s="45"/>
      <c r="F3" s="45"/>
    </row>
    <row r="4" ht="10.5" customHeight="1"/>
    <row r="5" spans="1:5" ht="12.75">
      <c r="A5" s="840" t="s">
        <v>911</v>
      </c>
      <c r="B5" s="840"/>
      <c r="C5" s="840"/>
      <c r="D5" s="840"/>
      <c r="E5" s="840"/>
    </row>
    <row r="7" ht="0.75" customHeight="1"/>
    <row r="8" ht="12.75">
      <c r="A8" s="15" t="s">
        <v>634</v>
      </c>
    </row>
    <row r="9" spans="4:18" ht="12.75">
      <c r="D9" s="849" t="s">
        <v>929</v>
      </c>
      <c r="E9" s="849"/>
      <c r="Q9" s="21"/>
      <c r="R9" s="21"/>
    </row>
    <row r="10" spans="1:18" ht="26.25" customHeight="1">
      <c r="A10" s="708" t="s">
        <v>2</v>
      </c>
      <c r="B10" s="708" t="s">
        <v>3</v>
      </c>
      <c r="C10" s="850" t="s">
        <v>630</v>
      </c>
      <c r="D10" s="851"/>
      <c r="E10" s="852"/>
      <c r="Q10" s="21"/>
      <c r="R10" s="21"/>
    </row>
    <row r="11" spans="1:5" ht="56.25" customHeight="1">
      <c r="A11" s="710"/>
      <c r="B11" s="710"/>
      <c r="C11" s="257" t="s">
        <v>631</v>
      </c>
      <c r="D11" s="257" t="s">
        <v>632</v>
      </c>
      <c r="E11" s="257" t="s">
        <v>633</v>
      </c>
    </row>
    <row r="12" spans="1:5" s="114" customFormat="1" ht="15.75" customHeight="1">
      <c r="A12" s="69">
        <v>1</v>
      </c>
      <c r="B12" s="68">
        <v>2</v>
      </c>
      <c r="C12" s="69">
        <v>3</v>
      </c>
      <c r="D12" s="68">
        <v>4</v>
      </c>
      <c r="E12" s="69">
        <v>5</v>
      </c>
    </row>
    <row r="13" spans="1:5" ht="14.25" customHeight="1">
      <c r="A13" s="8">
        <v>1</v>
      </c>
      <c r="B13" s="19" t="s">
        <v>473</v>
      </c>
      <c r="C13" s="148">
        <v>0</v>
      </c>
      <c r="D13" s="18">
        <v>1</v>
      </c>
      <c r="E13" s="839">
        <v>5938</v>
      </c>
    </row>
    <row r="14" spans="1:5" ht="14.25" customHeight="1">
      <c r="A14" s="8">
        <v>2</v>
      </c>
      <c r="B14" s="19" t="s">
        <v>474</v>
      </c>
      <c r="C14" s="148">
        <v>0</v>
      </c>
      <c r="D14" s="18">
        <v>1</v>
      </c>
      <c r="E14" s="847"/>
    </row>
    <row r="15" spans="1:5" ht="14.25" customHeight="1">
      <c r="A15" s="8">
        <v>3</v>
      </c>
      <c r="B15" s="19" t="s">
        <v>475</v>
      </c>
      <c r="C15" s="148">
        <v>0</v>
      </c>
      <c r="D15" s="18">
        <v>1</v>
      </c>
      <c r="E15" s="847"/>
    </row>
    <row r="16" spans="1:5" ht="14.25" customHeight="1">
      <c r="A16" s="8">
        <v>4</v>
      </c>
      <c r="B16" s="19" t="s">
        <v>476</v>
      </c>
      <c r="C16" s="148">
        <v>0</v>
      </c>
      <c r="D16" s="18">
        <v>1</v>
      </c>
      <c r="E16" s="847"/>
    </row>
    <row r="17" spans="1:5" ht="14.25" customHeight="1">
      <c r="A17" s="8">
        <v>5</v>
      </c>
      <c r="B17" s="19" t="s">
        <v>477</v>
      </c>
      <c r="C17" s="148">
        <v>0</v>
      </c>
      <c r="D17" s="18">
        <v>1</v>
      </c>
      <c r="E17" s="847"/>
    </row>
    <row r="18" spans="1:5" ht="14.25" customHeight="1">
      <c r="A18" s="8">
        <v>6</v>
      </c>
      <c r="B18" s="19" t="s">
        <v>478</v>
      </c>
      <c r="C18" s="148">
        <v>0</v>
      </c>
      <c r="D18" s="18">
        <v>1</v>
      </c>
      <c r="E18" s="847"/>
    </row>
    <row r="19" spans="1:5" ht="14.25" customHeight="1">
      <c r="A19" s="8">
        <v>7</v>
      </c>
      <c r="B19" s="19" t="s">
        <v>479</v>
      </c>
      <c r="C19" s="148">
        <v>0</v>
      </c>
      <c r="D19" s="18">
        <v>1</v>
      </c>
      <c r="E19" s="847"/>
    </row>
    <row r="20" spans="1:5" ht="14.25" customHeight="1">
      <c r="A20" s="8">
        <v>8</v>
      </c>
      <c r="B20" s="19" t="s">
        <v>480</v>
      </c>
      <c r="C20" s="148">
        <v>0</v>
      </c>
      <c r="D20" s="18">
        <v>1</v>
      </c>
      <c r="E20" s="848"/>
    </row>
    <row r="21" spans="1:5" ht="12.75">
      <c r="A21" s="3" t="s">
        <v>16</v>
      </c>
      <c r="B21" s="19"/>
      <c r="C21" s="148">
        <v>0</v>
      </c>
      <c r="D21" s="18">
        <f>SUM(D13:D20)</f>
        <v>8</v>
      </c>
      <c r="E21" s="3">
        <f>E13</f>
        <v>5938</v>
      </c>
    </row>
    <row r="22" ht="12.75">
      <c r="E22" s="28"/>
    </row>
    <row r="23" s="33" customFormat="1" ht="15.75" customHeight="1"/>
    <row r="24" spans="2:6" ht="12.75" customHeight="1">
      <c r="B24" s="15" t="s">
        <v>12</v>
      </c>
      <c r="C24" s="15"/>
      <c r="D24" s="15"/>
      <c r="F24" s="122"/>
    </row>
    <row r="25" spans="3:6" ht="13.5" customHeight="1">
      <c r="C25" s="86"/>
      <c r="D25" s="86"/>
      <c r="E25" s="122"/>
      <c r="F25" s="86"/>
    </row>
    <row r="26" spans="3:6" ht="12" customHeight="1">
      <c r="C26" s="86"/>
      <c r="D26" s="86"/>
      <c r="E26" s="699" t="s">
        <v>1062</v>
      </c>
      <c r="F26" s="699"/>
    </row>
    <row r="27" spans="2:8" ht="12.75">
      <c r="B27" s="15"/>
      <c r="C27" s="15"/>
      <c r="D27" s="15"/>
      <c r="E27" s="699" t="s">
        <v>485</v>
      </c>
      <c r="F27" s="699"/>
      <c r="G27" s="29"/>
      <c r="H27" s="29"/>
    </row>
    <row r="28" ht="12.75">
      <c r="E28" s="29" t="s">
        <v>80</v>
      </c>
    </row>
  </sheetData>
  <sheetProtection/>
  <mergeCells count="10">
    <mergeCell ref="E26:F26"/>
    <mergeCell ref="E27:F27"/>
    <mergeCell ref="E13:E20"/>
    <mergeCell ref="A2:E2"/>
    <mergeCell ref="A5:E5"/>
    <mergeCell ref="D9:E9"/>
    <mergeCell ref="A10:A11"/>
    <mergeCell ref="B10:B11"/>
    <mergeCell ref="C10:E10"/>
    <mergeCell ref="C3:D3"/>
  </mergeCells>
  <printOptions/>
  <pageMargins left="0.69" right="0.2" top="1.15" bottom="0.75" header="0.81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view="pageBreakPreview" zoomScaleSheetLayoutView="100" zoomScalePageLayoutView="0" workbookViewId="0" topLeftCell="A7">
      <selection activeCell="G30" sqref="G30:I30"/>
    </sheetView>
  </sheetViews>
  <sheetFormatPr defaultColWidth="9.140625" defaultRowHeight="12.75"/>
  <cols>
    <col min="1" max="1" width="5.8515625" style="0" customWidth="1"/>
    <col min="2" max="2" width="16.28125" style="0" customWidth="1"/>
    <col min="3" max="3" width="20.8515625" style="0" customWidth="1"/>
    <col min="4" max="4" width="16.00390625" style="0" customWidth="1"/>
    <col min="5" max="5" width="12.8515625" style="0" customWidth="1"/>
    <col min="6" max="6" width="19.28125" style="0" customWidth="1"/>
    <col min="7" max="7" width="13.57421875" style="0" customWidth="1"/>
    <col min="8" max="8" width="17.8515625" style="0" customWidth="1"/>
    <col min="9" max="9" width="13.57421875" style="0" customWidth="1"/>
  </cols>
  <sheetData>
    <row r="1" spans="8:9" ht="18">
      <c r="H1" s="865" t="s">
        <v>701</v>
      </c>
      <c r="I1" s="865"/>
    </row>
    <row r="2" spans="1:10" ht="18">
      <c r="A2" s="760" t="s">
        <v>0</v>
      </c>
      <c r="B2" s="760"/>
      <c r="C2" s="760"/>
      <c r="D2" s="760"/>
      <c r="E2" s="760"/>
      <c r="F2" s="760"/>
      <c r="G2" s="760"/>
      <c r="H2" s="760"/>
      <c r="I2" s="760"/>
      <c r="J2" s="208"/>
    </row>
    <row r="3" spans="1:10" ht="21">
      <c r="A3" s="761" t="s">
        <v>878</v>
      </c>
      <c r="B3" s="761"/>
      <c r="C3" s="761"/>
      <c r="D3" s="761"/>
      <c r="E3" s="761"/>
      <c r="F3" s="761"/>
      <c r="G3" s="761"/>
      <c r="H3" s="761"/>
      <c r="I3" s="761"/>
      <c r="J3" s="209"/>
    </row>
    <row r="4" spans="3:10" ht="9.75" customHeight="1">
      <c r="C4" s="182"/>
      <c r="D4" s="182"/>
      <c r="E4" s="182"/>
      <c r="F4" s="182"/>
      <c r="G4" s="182"/>
      <c r="H4" s="182"/>
      <c r="I4" s="209"/>
      <c r="J4" s="209"/>
    </row>
    <row r="5" spans="1:9" ht="20.25" customHeight="1">
      <c r="A5" s="864" t="s">
        <v>912</v>
      </c>
      <c r="B5" s="864"/>
      <c r="C5" s="864"/>
      <c r="D5" s="864"/>
      <c r="E5" s="864"/>
      <c r="F5" s="864"/>
      <c r="G5" s="864"/>
      <c r="H5" s="864"/>
      <c r="I5" s="864"/>
    </row>
    <row r="6" spans="3:8" ht="9.75" customHeight="1">
      <c r="C6" s="252"/>
      <c r="D6" s="211"/>
      <c r="E6" s="211"/>
      <c r="F6" s="211"/>
      <c r="G6" s="211"/>
      <c r="H6" s="211"/>
    </row>
    <row r="7" spans="1:9" s="188" customFormat="1" ht="12.75">
      <c r="A7" s="193" t="s">
        <v>472</v>
      </c>
      <c r="C7" s="193"/>
      <c r="D7" s="193"/>
      <c r="E7" s="193"/>
      <c r="F7" s="193"/>
      <c r="G7" s="193"/>
      <c r="H7" s="193"/>
      <c r="I7" s="193"/>
    </row>
    <row r="8" spans="2:9" s="188" customFormat="1" ht="12.75">
      <c r="B8" s="193"/>
      <c r="C8" s="193"/>
      <c r="D8" s="193"/>
      <c r="E8" s="193"/>
      <c r="F8" s="193"/>
      <c r="G8" s="193"/>
      <c r="H8" s="193"/>
      <c r="I8" s="193"/>
    </row>
    <row r="9" spans="1:9" s="260" customFormat="1" ht="15" customHeight="1">
      <c r="A9" s="853" t="s">
        <v>70</v>
      </c>
      <c r="B9" s="853" t="s">
        <v>511</v>
      </c>
      <c r="C9" s="853" t="s">
        <v>410</v>
      </c>
      <c r="D9" s="853" t="s">
        <v>539</v>
      </c>
      <c r="E9" s="861" t="s">
        <v>391</v>
      </c>
      <c r="F9" s="862"/>
      <c r="G9" s="863"/>
      <c r="H9" s="853" t="s">
        <v>414</v>
      </c>
      <c r="I9" s="853" t="s">
        <v>415</v>
      </c>
    </row>
    <row r="10" spans="1:9" s="260" customFormat="1" ht="12.75" customHeight="1">
      <c r="A10" s="854"/>
      <c r="B10" s="854"/>
      <c r="C10" s="854"/>
      <c r="D10" s="854"/>
      <c r="E10" s="853" t="s">
        <v>411</v>
      </c>
      <c r="F10" s="853" t="s">
        <v>412</v>
      </c>
      <c r="G10" s="853" t="s">
        <v>413</v>
      </c>
      <c r="H10" s="854"/>
      <c r="I10" s="859"/>
    </row>
    <row r="11" spans="1:9" s="260" customFormat="1" ht="20.25" customHeight="1">
      <c r="A11" s="854"/>
      <c r="B11" s="854"/>
      <c r="C11" s="854"/>
      <c r="D11" s="854"/>
      <c r="E11" s="854"/>
      <c r="F11" s="854"/>
      <c r="G11" s="854"/>
      <c r="H11" s="854"/>
      <c r="I11" s="859"/>
    </row>
    <row r="12" spans="1:9" s="260" customFormat="1" ht="46.5" customHeight="1">
      <c r="A12" s="855"/>
      <c r="B12" s="855"/>
      <c r="C12" s="855"/>
      <c r="D12" s="855"/>
      <c r="E12" s="855"/>
      <c r="F12" s="855"/>
      <c r="G12" s="855"/>
      <c r="H12" s="855"/>
      <c r="I12" s="860"/>
    </row>
    <row r="13" spans="1:9" ht="15">
      <c r="A13" s="212">
        <v>1</v>
      </c>
      <c r="B13" s="212">
        <v>2</v>
      </c>
      <c r="C13" s="213">
        <v>3</v>
      </c>
      <c r="D13" s="212">
        <v>4</v>
      </c>
      <c r="E13" s="212">
        <v>5</v>
      </c>
      <c r="F13" s="213">
        <v>6</v>
      </c>
      <c r="G13" s="212">
        <v>7</v>
      </c>
      <c r="H13" s="212">
        <v>8</v>
      </c>
      <c r="I13" s="213">
        <v>9</v>
      </c>
    </row>
    <row r="14" spans="1:9" ht="12.75">
      <c r="A14" s="8">
        <v>1</v>
      </c>
      <c r="B14" s="19" t="s">
        <v>473</v>
      </c>
      <c r="C14" s="856" t="s">
        <v>759</v>
      </c>
      <c r="D14" s="214">
        <f>'AT-3'!G9</f>
        <v>917</v>
      </c>
      <c r="E14" s="510">
        <v>0</v>
      </c>
      <c r="F14" s="214">
        <v>0</v>
      </c>
      <c r="G14" s="214">
        <v>0</v>
      </c>
      <c r="H14" s="214"/>
      <c r="I14" s="343">
        <v>0</v>
      </c>
    </row>
    <row r="15" spans="1:9" ht="12.75">
      <c r="A15" s="8">
        <v>2</v>
      </c>
      <c r="B15" s="19" t="s">
        <v>474</v>
      </c>
      <c r="C15" s="857"/>
      <c r="D15" s="214">
        <f>'AT-3'!G10</f>
        <v>875</v>
      </c>
      <c r="E15" s="510">
        <v>0</v>
      </c>
      <c r="F15" s="214">
        <v>0</v>
      </c>
      <c r="G15" s="214">
        <v>0</v>
      </c>
      <c r="H15" s="214"/>
      <c r="I15" s="343">
        <v>0</v>
      </c>
    </row>
    <row r="16" spans="1:9" ht="12.75" customHeight="1">
      <c r="A16" s="8">
        <v>3</v>
      </c>
      <c r="B16" s="19" t="s">
        <v>475</v>
      </c>
      <c r="C16" s="857"/>
      <c r="D16" s="214">
        <f>'AT-3'!G11</f>
        <v>668</v>
      </c>
      <c r="E16" s="510">
        <v>0</v>
      </c>
      <c r="F16" s="214">
        <v>0</v>
      </c>
      <c r="G16" s="214">
        <v>0</v>
      </c>
      <c r="H16" s="507"/>
      <c r="I16" s="343">
        <v>0</v>
      </c>
    </row>
    <row r="17" spans="1:9" ht="12.75" customHeight="1">
      <c r="A17" s="8">
        <v>4</v>
      </c>
      <c r="B17" s="19" t="s">
        <v>476</v>
      </c>
      <c r="C17" s="857"/>
      <c r="D17" s="214">
        <f>'AT-3'!G12</f>
        <v>810</v>
      </c>
      <c r="E17" s="510">
        <v>0</v>
      </c>
      <c r="F17" s="214">
        <v>0</v>
      </c>
      <c r="G17" s="214">
        <v>0</v>
      </c>
      <c r="H17" s="507"/>
      <c r="I17" s="343">
        <v>0</v>
      </c>
    </row>
    <row r="18" spans="1:9" ht="12.75" customHeight="1">
      <c r="A18" s="8">
        <v>5</v>
      </c>
      <c r="B18" s="19" t="s">
        <v>477</v>
      </c>
      <c r="C18" s="857"/>
      <c r="D18" s="214">
        <f>'AT-3'!G13</f>
        <v>925</v>
      </c>
      <c r="E18" s="510">
        <v>0</v>
      </c>
      <c r="F18" s="214">
        <v>0</v>
      </c>
      <c r="G18" s="214">
        <v>0</v>
      </c>
      <c r="H18" s="507"/>
      <c r="I18" s="343">
        <v>0</v>
      </c>
    </row>
    <row r="19" spans="1:9" ht="12.75">
      <c r="A19" s="8">
        <v>6</v>
      </c>
      <c r="B19" s="19" t="s">
        <v>478</v>
      </c>
      <c r="C19" s="857"/>
      <c r="D19" s="214">
        <f>'AT-3'!G14</f>
        <v>470</v>
      </c>
      <c r="E19" s="510">
        <v>0</v>
      </c>
      <c r="F19" s="214">
        <v>0</v>
      </c>
      <c r="G19" s="214">
        <v>0</v>
      </c>
      <c r="H19" s="9"/>
      <c r="I19" s="343">
        <v>0</v>
      </c>
    </row>
    <row r="20" spans="1:9" ht="12.75">
      <c r="A20" s="8">
        <v>7</v>
      </c>
      <c r="B20" s="19" t="s">
        <v>479</v>
      </c>
      <c r="C20" s="857"/>
      <c r="D20" s="214">
        <f>'AT-3'!G15</f>
        <v>719</v>
      </c>
      <c r="E20" s="510">
        <v>0</v>
      </c>
      <c r="F20" s="214">
        <v>0</v>
      </c>
      <c r="G20" s="214">
        <v>0</v>
      </c>
      <c r="H20" s="9"/>
      <c r="I20" s="343">
        <v>0</v>
      </c>
    </row>
    <row r="21" spans="1:9" ht="12.75">
      <c r="A21" s="8">
        <v>8</v>
      </c>
      <c r="B21" s="19" t="s">
        <v>480</v>
      </c>
      <c r="C21" s="858"/>
      <c r="D21" s="214">
        <f>'AT-3'!G16</f>
        <v>1140</v>
      </c>
      <c r="E21" s="511">
        <v>0</v>
      </c>
      <c r="F21" s="214">
        <v>0</v>
      </c>
      <c r="G21" s="214">
        <v>0</v>
      </c>
      <c r="H21" s="9"/>
      <c r="I21" s="343">
        <v>0</v>
      </c>
    </row>
    <row r="22" spans="1:9" ht="12.75">
      <c r="A22" s="3"/>
      <c r="B22" s="27" t="s">
        <v>481</v>
      </c>
      <c r="C22" s="9"/>
      <c r="D22" s="9">
        <f aca="true" t="shared" si="0" ref="D22:I22">SUM(D14:D21)</f>
        <v>6524</v>
      </c>
      <c r="E22" s="9">
        <f t="shared" si="0"/>
        <v>0</v>
      </c>
      <c r="F22" s="9">
        <f t="shared" si="0"/>
        <v>0</v>
      </c>
      <c r="G22" s="9">
        <f t="shared" si="0"/>
        <v>0</v>
      </c>
      <c r="H22" s="9">
        <f t="shared" si="0"/>
        <v>0</v>
      </c>
      <c r="I22" s="343">
        <f t="shared" si="0"/>
        <v>0</v>
      </c>
    </row>
    <row r="23" spans="1:2" ht="12.75">
      <c r="A23" s="12"/>
      <c r="B23" s="28"/>
    </row>
    <row r="24" spans="1:6" ht="12.75">
      <c r="A24" s="16"/>
      <c r="B24" s="388"/>
      <c r="F24" s="344"/>
    </row>
    <row r="25" spans="1:6" ht="12.75">
      <c r="A25" s="16"/>
      <c r="B25" s="388"/>
      <c r="F25" s="344"/>
    </row>
    <row r="26" spans="1:5" ht="12.75">
      <c r="A26" s="16"/>
      <c r="B26" s="388"/>
      <c r="E26" t="s">
        <v>11</v>
      </c>
    </row>
    <row r="27" spans="1:6" ht="12.75">
      <c r="A27" s="16"/>
      <c r="F27" s="16" t="s">
        <v>11</v>
      </c>
    </row>
    <row r="28" spans="1:9" ht="12.75">
      <c r="A28" s="188"/>
      <c r="B28" s="188"/>
      <c r="C28" s="188"/>
      <c r="D28" s="188"/>
      <c r="G28" s="764"/>
      <c r="H28" s="764"/>
      <c r="I28" s="764"/>
    </row>
    <row r="29" spans="1:9" ht="15" customHeight="1">
      <c r="A29" s="188"/>
      <c r="B29" s="188"/>
      <c r="C29" s="188"/>
      <c r="D29" s="188"/>
      <c r="F29" s="16" t="s">
        <v>11</v>
      </c>
      <c r="G29" s="764" t="s">
        <v>1062</v>
      </c>
      <c r="H29" s="764"/>
      <c r="I29" s="764"/>
    </row>
    <row r="30" spans="1:9" ht="15" customHeight="1">
      <c r="A30" s="188"/>
      <c r="B30" s="188"/>
      <c r="C30" s="188"/>
      <c r="D30" s="188"/>
      <c r="G30" s="764" t="s">
        <v>484</v>
      </c>
      <c r="H30" s="764"/>
      <c r="I30" s="764"/>
    </row>
    <row r="31" spans="1:7" ht="12.75">
      <c r="A31" s="188" t="s">
        <v>12</v>
      </c>
      <c r="C31" s="188"/>
      <c r="D31" s="188"/>
      <c r="G31" s="190" t="s">
        <v>80</v>
      </c>
    </row>
  </sheetData>
  <sheetProtection/>
  <mergeCells count="18">
    <mergeCell ref="A2:I2"/>
    <mergeCell ref="A3:I3"/>
    <mergeCell ref="A5:I5"/>
    <mergeCell ref="H1:I1"/>
    <mergeCell ref="A9:A12"/>
    <mergeCell ref="G10:G12"/>
    <mergeCell ref="H9:H12"/>
    <mergeCell ref="B9:B12"/>
    <mergeCell ref="C9:C12"/>
    <mergeCell ref="G30:I30"/>
    <mergeCell ref="E10:E12"/>
    <mergeCell ref="F10:F12"/>
    <mergeCell ref="C14:C21"/>
    <mergeCell ref="G29:I29"/>
    <mergeCell ref="G28:I28"/>
    <mergeCell ref="I9:I12"/>
    <mergeCell ref="E9:G9"/>
    <mergeCell ref="D9:D12"/>
  </mergeCells>
  <printOptions horizontalCentered="1"/>
  <pageMargins left="0.7086614173228347" right="0.25" top="0.9" bottom="0" header="0.31496062992125984" footer="0.31496062992125984"/>
  <pageSetup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view="pageBreakPreview" zoomScale="110" zoomScaleSheetLayoutView="110" zoomScalePageLayoutView="0" workbookViewId="0" topLeftCell="A1">
      <selection activeCell="H22" sqref="H22:J22"/>
    </sheetView>
  </sheetViews>
  <sheetFormatPr defaultColWidth="9.140625" defaultRowHeight="12.75"/>
  <cols>
    <col min="1" max="1" width="5.57421875" style="0" customWidth="1"/>
    <col min="2" max="2" width="12.8515625" style="0" customWidth="1"/>
    <col min="6" max="6" width="11.57421875" style="0" customWidth="1"/>
    <col min="7" max="7" width="10.421875" style="0" customWidth="1"/>
    <col min="8" max="8" width="17.140625" style="0" customWidth="1"/>
    <col min="9" max="9" width="10.421875" style="0" customWidth="1"/>
    <col min="10" max="10" width="15.8515625" style="0" customWidth="1"/>
  </cols>
  <sheetData>
    <row r="1" ht="12.75">
      <c r="J1" s="216" t="s">
        <v>703</v>
      </c>
    </row>
    <row r="2" spans="1:10" ht="18">
      <c r="A2" s="760" t="s">
        <v>0</v>
      </c>
      <c r="B2" s="760"/>
      <c r="C2" s="760"/>
      <c r="D2" s="760"/>
      <c r="E2" s="760"/>
      <c r="F2" s="760"/>
      <c r="G2" s="760"/>
      <c r="H2" s="760"/>
      <c r="I2" s="760"/>
      <c r="J2" s="760"/>
    </row>
    <row r="3" spans="1:10" ht="21">
      <c r="A3" s="761" t="s">
        <v>878</v>
      </c>
      <c r="B3" s="761"/>
      <c r="C3" s="761"/>
      <c r="D3" s="761"/>
      <c r="E3" s="761"/>
      <c r="F3" s="761"/>
      <c r="G3" s="761"/>
      <c r="H3" s="761"/>
      <c r="I3" s="761"/>
      <c r="J3" s="761"/>
    </row>
    <row r="4" spans="1:9" ht="15">
      <c r="A4" s="183"/>
      <c r="B4" s="183"/>
      <c r="C4" s="183"/>
      <c r="D4" s="183"/>
      <c r="E4" s="183"/>
      <c r="F4" s="183"/>
      <c r="G4" s="183"/>
      <c r="H4" s="183"/>
      <c r="I4" s="183"/>
    </row>
    <row r="5" spans="1:10" ht="18">
      <c r="A5" s="760" t="s">
        <v>702</v>
      </c>
      <c r="B5" s="760"/>
      <c r="C5" s="760"/>
      <c r="D5" s="760"/>
      <c r="E5" s="760"/>
      <c r="F5" s="760"/>
      <c r="G5" s="760"/>
      <c r="H5" s="760"/>
      <c r="I5" s="760"/>
      <c r="J5" s="760"/>
    </row>
    <row r="6" spans="1:10" ht="15">
      <c r="A6" s="184" t="s">
        <v>512</v>
      </c>
      <c r="B6" s="184"/>
      <c r="C6" s="184"/>
      <c r="D6" s="184"/>
      <c r="E6" s="184"/>
      <c r="F6" s="184"/>
      <c r="G6" s="184"/>
      <c r="H6" s="763" t="s">
        <v>931</v>
      </c>
      <c r="I6" s="763"/>
      <c r="J6" s="763"/>
    </row>
    <row r="7" spans="1:10" s="270" customFormat="1" ht="17.25" customHeight="1">
      <c r="A7" s="872" t="s">
        <v>2</v>
      </c>
      <c r="B7" s="872" t="s">
        <v>392</v>
      </c>
      <c r="C7" s="674" t="s">
        <v>393</v>
      </c>
      <c r="D7" s="674"/>
      <c r="E7" s="674"/>
      <c r="F7" s="866" t="s">
        <v>396</v>
      </c>
      <c r="G7" s="867"/>
      <c r="H7" s="867"/>
      <c r="I7" s="868"/>
      <c r="J7" s="870" t="s">
        <v>668</v>
      </c>
    </row>
    <row r="8" spans="1:10" s="270" customFormat="1" ht="60.75" customHeight="1">
      <c r="A8" s="872"/>
      <c r="B8" s="872"/>
      <c r="C8" s="257" t="s">
        <v>97</v>
      </c>
      <c r="D8" s="257" t="s">
        <v>394</v>
      </c>
      <c r="E8" s="257" t="s">
        <v>395</v>
      </c>
      <c r="F8" s="357" t="s">
        <v>397</v>
      </c>
      <c r="G8" s="357" t="s">
        <v>398</v>
      </c>
      <c r="H8" s="357" t="s">
        <v>399</v>
      </c>
      <c r="I8" s="357" t="s">
        <v>44</v>
      </c>
      <c r="J8" s="871"/>
    </row>
    <row r="9" spans="1:10" s="415" customFormat="1" ht="15">
      <c r="A9" s="459" t="s">
        <v>260</v>
      </c>
      <c r="B9" s="460" t="s">
        <v>261</v>
      </c>
      <c r="C9" s="459" t="s">
        <v>262</v>
      </c>
      <c r="D9" s="459" t="s">
        <v>263</v>
      </c>
      <c r="E9" s="460" t="s">
        <v>264</v>
      </c>
      <c r="F9" s="459" t="s">
        <v>265</v>
      </c>
      <c r="G9" s="459" t="s">
        <v>266</v>
      </c>
      <c r="H9" s="460" t="s">
        <v>267</v>
      </c>
      <c r="I9" s="459" t="s">
        <v>286</v>
      </c>
      <c r="J9" s="459" t="s">
        <v>287</v>
      </c>
    </row>
    <row r="10" spans="1:10" ht="15">
      <c r="A10" s="455">
        <v>1</v>
      </c>
      <c r="B10" s="19">
        <v>9</v>
      </c>
      <c r="C10" s="457">
        <v>6</v>
      </c>
      <c r="D10" s="458">
        <v>2</v>
      </c>
      <c r="E10" s="458">
        <v>1</v>
      </c>
      <c r="F10" s="458">
        <v>2</v>
      </c>
      <c r="G10" s="458">
        <v>6</v>
      </c>
      <c r="H10" s="458">
        <v>0</v>
      </c>
      <c r="I10" s="458">
        <v>1</v>
      </c>
      <c r="J10" s="461">
        <v>15.7</v>
      </c>
    </row>
    <row r="11" spans="1:10" ht="12.75">
      <c r="A11" s="3" t="s">
        <v>533</v>
      </c>
      <c r="B11" s="456">
        <v>9</v>
      </c>
      <c r="C11" s="27">
        <f aca="true" t="shared" si="0" ref="C11:J11">SUM(C10:C10)</f>
        <v>6</v>
      </c>
      <c r="D11" s="27">
        <f t="shared" si="0"/>
        <v>2</v>
      </c>
      <c r="E11" s="27">
        <f t="shared" si="0"/>
        <v>1</v>
      </c>
      <c r="F11" s="27">
        <f t="shared" si="0"/>
        <v>2</v>
      </c>
      <c r="G11" s="27">
        <f t="shared" si="0"/>
        <v>6</v>
      </c>
      <c r="H11" s="27">
        <f t="shared" si="0"/>
        <v>0</v>
      </c>
      <c r="I11" s="27">
        <f t="shared" si="0"/>
        <v>1</v>
      </c>
      <c r="J11" s="369">
        <f t="shared" si="0"/>
        <v>15.7</v>
      </c>
    </row>
    <row r="12" spans="1:10" ht="12.75">
      <c r="A12" s="12"/>
      <c r="B12" s="28"/>
      <c r="C12" s="28"/>
      <c r="D12" s="28"/>
      <c r="E12" s="28"/>
      <c r="F12" s="28"/>
      <c r="G12" s="28"/>
      <c r="H12" s="28"/>
      <c r="I12" s="28"/>
      <c r="J12" s="454"/>
    </row>
    <row r="13" spans="1:10" ht="12.75">
      <c r="A13" s="12" t="s">
        <v>556</v>
      </c>
      <c r="B13" s="462" t="s">
        <v>669</v>
      </c>
      <c r="C13" s="28"/>
      <c r="D13" s="28"/>
      <c r="E13" s="28"/>
      <c r="F13" s="28"/>
      <c r="G13" s="28"/>
      <c r="H13" s="28"/>
      <c r="I13" s="28"/>
      <c r="J13" s="454"/>
    </row>
    <row r="14" spans="1:10" ht="12.75">
      <c r="A14" s="463">
        <v>1</v>
      </c>
      <c r="B14" s="21" t="s">
        <v>662</v>
      </c>
      <c r="C14" s="28"/>
      <c r="D14" s="28"/>
      <c r="E14" s="28"/>
      <c r="F14" s="28"/>
      <c r="G14" s="28"/>
      <c r="H14" s="28"/>
      <c r="I14" s="28"/>
      <c r="J14" s="454"/>
    </row>
    <row r="15" spans="1:10" ht="12.75">
      <c r="A15" s="463">
        <v>2</v>
      </c>
      <c r="B15" s="21" t="s">
        <v>663</v>
      </c>
      <c r="C15" s="28"/>
      <c r="D15" s="28"/>
      <c r="E15" s="28"/>
      <c r="F15" s="28"/>
      <c r="G15" s="28"/>
      <c r="H15" s="28"/>
      <c r="I15" s="28"/>
      <c r="J15" s="454"/>
    </row>
    <row r="16" spans="1:10" ht="12.75">
      <c r="A16" s="463">
        <v>3</v>
      </c>
      <c r="B16" s="21" t="s">
        <v>664</v>
      </c>
      <c r="C16" s="28"/>
      <c r="D16" s="28"/>
      <c r="E16" s="28"/>
      <c r="F16" s="28"/>
      <c r="G16" s="28"/>
      <c r="H16" s="28"/>
      <c r="I16" s="28"/>
      <c r="J16" s="454"/>
    </row>
    <row r="17" spans="1:10" ht="12.75">
      <c r="A17" s="463">
        <v>4</v>
      </c>
      <c r="B17" s="21" t="s">
        <v>666</v>
      </c>
      <c r="C17" s="28"/>
      <c r="D17" s="28"/>
      <c r="E17" s="28"/>
      <c r="F17" s="28"/>
      <c r="G17" s="28"/>
      <c r="H17" s="28"/>
      <c r="I17" s="28"/>
      <c r="J17" s="454"/>
    </row>
    <row r="18" spans="1:10" ht="12.75">
      <c r="A18" s="463">
        <v>5</v>
      </c>
      <c r="B18" s="21" t="s">
        <v>667</v>
      </c>
      <c r="C18" s="28"/>
      <c r="D18" s="28"/>
      <c r="E18" s="28"/>
      <c r="F18" s="28"/>
      <c r="G18" s="28"/>
      <c r="H18" s="28"/>
      <c r="I18" s="28"/>
      <c r="J18" s="454"/>
    </row>
    <row r="19" spans="1:10" ht="12.75">
      <c r="A19" s="463">
        <v>6</v>
      </c>
      <c r="B19" s="21" t="s">
        <v>665</v>
      </c>
      <c r="C19" s="28"/>
      <c r="D19" s="28"/>
      <c r="E19" s="28"/>
      <c r="F19" s="28"/>
      <c r="G19" s="28"/>
      <c r="H19" s="28"/>
      <c r="I19" s="28"/>
      <c r="J19" s="454"/>
    </row>
    <row r="20" spans="1:10" ht="12.75" customHeight="1">
      <c r="A20" s="188"/>
      <c r="C20" s="188"/>
      <c r="D20" s="188"/>
      <c r="I20" s="869"/>
      <c r="J20" s="869"/>
    </row>
    <row r="21" spans="1:10" ht="12.75" customHeight="1">
      <c r="A21" s="188"/>
      <c r="C21" s="188"/>
      <c r="D21" s="188"/>
      <c r="H21" s="869" t="s">
        <v>1062</v>
      </c>
      <c r="I21" s="869"/>
      <c r="J21" s="869"/>
    </row>
    <row r="22" spans="1:10" ht="12.75" customHeight="1">
      <c r="A22" s="188"/>
      <c r="B22" s="188"/>
      <c r="C22" s="188"/>
      <c r="D22" s="188"/>
      <c r="H22" s="869" t="s">
        <v>485</v>
      </c>
      <c r="I22" s="869"/>
      <c r="J22" s="869"/>
    </row>
    <row r="23" spans="1:10" ht="12.75">
      <c r="A23" s="188" t="s">
        <v>12</v>
      </c>
      <c r="C23" s="188"/>
      <c r="D23" s="188"/>
      <c r="H23" s="418" t="s">
        <v>80</v>
      </c>
      <c r="J23" s="415"/>
    </row>
  </sheetData>
  <sheetProtection/>
  <mergeCells count="12">
    <mergeCell ref="A5:J5"/>
    <mergeCell ref="A2:J2"/>
    <mergeCell ref="A3:J3"/>
    <mergeCell ref="A7:A8"/>
    <mergeCell ref="B7:B8"/>
    <mergeCell ref="C7:E7"/>
    <mergeCell ref="F7:I7"/>
    <mergeCell ref="H6:J6"/>
    <mergeCell ref="H21:J21"/>
    <mergeCell ref="H22:J22"/>
    <mergeCell ref="J7:J8"/>
    <mergeCell ref="I20:J20"/>
  </mergeCells>
  <printOptions horizontalCentered="1"/>
  <pageMargins left="0.7086614173228347" right="0.21" top="0.95" bottom="0" header="0.85" footer="0.31496062992125984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view="pageBreakPreview" zoomScale="90" zoomScaleSheetLayoutView="90" zoomScalePageLayoutView="0" workbookViewId="0" topLeftCell="A7">
      <selection activeCell="G33" sqref="G33:H33"/>
    </sheetView>
  </sheetViews>
  <sheetFormatPr defaultColWidth="9.140625" defaultRowHeight="12.75"/>
  <cols>
    <col min="1" max="1" width="5.28125" style="188" customWidth="1"/>
    <col min="2" max="2" width="8.57421875" style="188" customWidth="1"/>
    <col min="3" max="3" width="39.421875" style="188" customWidth="1"/>
    <col min="4" max="7" width="16.7109375" style="188" customWidth="1"/>
    <col min="8" max="8" width="23.57421875" style="188" customWidth="1"/>
    <col min="9" max="16384" width="9.140625" style="188" customWidth="1"/>
  </cols>
  <sheetData>
    <row r="1" spans="1:8" ht="12.75">
      <c r="A1" s="188" t="s">
        <v>11</v>
      </c>
      <c r="H1" s="202" t="s">
        <v>704</v>
      </c>
    </row>
    <row r="2" spans="1:8" s="191" customFormat="1" ht="15.75">
      <c r="A2" s="801" t="s">
        <v>0</v>
      </c>
      <c r="B2" s="801"/>
      <c r="C2" s="801"/>
      <c r="D2" s="801"/>
      <c r="E2" s="801"/>
      <c r="F2" s="801"/>
      <c r="G2" s="801"/>
      <c r="H2" s="801"/>
    </row>
    <row r="3" spans="1:8" s="191" customFormat="1" ht="20.25" customHeight="1">
      <c r="A3" s="802" t="s">
        <v>878</v>
      </c>
      <c r="B3" s="802"/>
      <c r="C3" s="802"/>
      <c r="D3" s="802"/>
      <c r="E3" s="802"/>
      <c r="F3" s="802"/>
      <c r="G3" s="802"/>
      <c r="H3" s="802"/>
    </row>
    <row r="5" spans="1:8" s="191" customFormat="1" ht="15.75">
      <c r="A5" s="799" t="s">
        <v>705</v>
      </c>
      <c r="B5" s="799"/>
      <c r="C5" s="799"/>
      <c r="D5" s="799"/>
      <c r="E5" s="799"/>
      <c r="F5" s="799"/>
      <c r="G5" s="799"/>
      <c r="H5" s="873"/>
    </row>
    <row r="7" spans="2:9" ht="12.75">
      <c r="B7" s="193" t="s">
        <v>472</v>
      </c>
      <c r="C7" s="193"/>
      <c r="D7" s="193"/>
      <c r="E7" s="193"/>
      <c r="F7" s="193"/>
      <c r="G7" s="193"/>
      <c r="H7" s="194"/>
      <c r="I7" s="194"/>
    </row>
    <row r="8" spans="1:9" s="194" customFormat="1" ht="12.75">
      <c r="A8" s="188"/>
      <c r="B8" s="188"/>
      <c r="C8" s="188"/>
      <c r="D8" s="188"/>
      <c r="E8" s="188"/>
      <c r="F8" s="188"/>
      <c r="G8" s="188"/>
      <c r="H8" s="113"/>
      <c r="I8" s="113"/>
    </row>
    <row r="9" spans="1:8" s="194" customFormat="1" ht="27" customHeight="1">
      <c r="A9" s="195"/>
      <c r="B9" s="874" t="s">
        <v>280</v>
      </c>
      <c r="C9" s="876" t="s">
        <v>281</v>
      </c>
      <c r="D9" s="876" t="s">
        <v>282</v>
      </c>
      <c r="E9" s="876"/>
      <c r="F9" s="876"/>
      <c r="G9" s="876"/>
      <c r="H9" s="876" t="s">
        <v>74</v>
      </c>
    </row>
    <row r="10" spans="1:8" s="194" customFormat="1" ht="19.5" customHeight="1">
      <c r="A10" s="196"/>
      <c r="B10" s="875"/>
      <c r="C10" s="876"/>
      <c r="D10" s="398" t="s">
        <v>283</v>
      </c>
      <c r="E10" s="398" t="s">
        <v>284</v>
      </c>
      <c r="F10" s="398" t="s">
        <v>285</v>
      </c>
      <c r="G10" s="398" t="s">
        <v>16</v>
      </c>
      <c r="H10" s="876"/>
    </row>
    <row r="11" spans="1:8" s="194" customFormat="1" ht="15">
      <c r="A11" s="196"/>
      <c r="B11" s="203" t="s">
        <v>260</v>
      </c>
      <c r="C11" s="399" t="s">
        <v>261</v>
      </c>
      <c r="D11" s="399" t="s">
        <v>262</v>
      </c>
      <c r="E11" s="399" t="s">
        <v>263</v>
      </c>
      <c r="F11" s="399" t="s">
        <v>264</v>
      </c>
      <c r="G11" s="399" t="s">
        <v>265</v>
      </c>
      <c r="H11" s="399">
        <v>7</v>
      </c>
    </row>
    <row r="12" spans="2:8" s="204" customFormat="1" ht="15" customHeight="1">
      <c r="B12" s="205" t="s">
        <v>26</v>
      </c>
      <c r="C12" s="877" t="s">
        <v>289</v>
      </c>
      <c r="D12" s="877"/>
      <c r="E12" s="877"/>
      <c r="F12" s="877"/>
      <c r="G12" s="877"/>
      <c r="H12" s="877"/>
    </row>
    <row r="13" spans="2:8" s="207" customFormat="1" ht="12.75">
      <c r="B13" s="206"/>
      <c r="C13" s="508" t="s">
        <v>518</v>
      </c>
      <c r="D13" s="366">
        <v>1</v>
      </c>
      <c r="E13" s="366">
        <v>0</v>
      </c>
      <c r="F13" s="366">
        <v>0</v>
      </c>
      <c r="G13" s="366">
        <f>D13+E13+F13</f>
        <v>1</v>
      </c>
      <c r="H13" s="206"/>
    </row>
    <row r="14" spans="1:8" ht="14.25">
      <c r="A14" s="199"/>
      <c r="B14" s="137"/>
      <c r="C14" s="509" t="s">
        <v>519</v>
      </c>
      <c r="D14" s="368">
        <v>0</v>
      </c>
      <c r="E14" s="368">
        <v>0</v>
      </c>
      <c r="F14" s="368">
        <v>0</v>
      </c>
      <c r="G14" s="366">
        <f aca="true" t="shared" si="0" ref="G14:G21">D14+E14+F14</f>
        <v>0</v>
      </c>
      <c r="H14" s="137"/>
    </row>
    <row r="15" spans="2:8" ht="12.75">
      <c r="B15" s="198"/>
      <c r="C15" s="509" t="s">
        <v>520</v>
      </c>
      <c r="D15" s="368">
        <v>0</v>
      </c>
      <c r="E15" s="368">
        <v>8</v>
      </c>
      <c r="F15" s="368">
        <v>0</v>
      </c>
      <c r="G15" s="366">
        <f t="shared" si="0"/>
        <v>8</v>
      </c>
      <c r="H15" s="137"/>
    </row>
    <row r="16" spans="2:8" ht="12.75">
      <c r="B16" s="198"/>
      <c r="C16" s="509" t="s">
        <v>521</v>
      </c>
      <c r="D16" s="368">
        <v>0</v>
      </c>
      <c r="E16" s="368">
        <v>0</v>
      </c>
      <c r="F16" s="368">
        <v>58</v>
      </c>
      <c r="G16" s="366">
        <f t="shared" si="0"/>
        <v>58</v>
      </c>
      <c r="H16" s="137"/>
    </row>
    <row r="17" spans="2:8" ht="12.75">
      <c r="B17" s="198"/>
      <c r="C17" s="509" t="s">
        <v>522</v>
      </c>
      <c r="D17" s="368">
        <v>0</v>
      </c>
      <c r="E17" s="368">
        <v>8</v>
      </c>
      <c r="F17" s="368">
        <v>58</v>
      </c>
      <c r="G17" s="366">
        <f t="shared" si="0"/>
        <v>66</v>
      </c>
      <c r="H17" s="137"/>
    </row>
    <row r="18" spans="2:8" ht="12.75">
      <c r="B18" s="198"/>
      <c r="C18" s="509" t="s">
        <v>526</v>
      </c>
      <c r="D18" s="368">
        <v>0</v>
      </c>
      <c r="E18" s="368">
        <v>8</v>
      </c>
      <c r="F18" s="368">
        <v>0</v>
      </c>
      <c r="G18" s="366">
        <f t="shared" si="0"/>
        <v>8</v>
      </c>
      <c r="H18" s="137"/>
    </row>
    <row r="19" spans="2:8" s="133" customFormat="1" ht="12.75">
      <c r="B19" s="137"/>
      <c r="C19" s="135" t="s">
        <v>523</v>
      </c>
      <c r="D19" s="368">
        <v>0</v>
      </c>
      <c r="E19" s="368">
        <v>8</v>
      </c>
      <c r="F19" s="368">
        <v>18</v>
      </c>
      <c r="G19" s="366">
        <f t="shared" si="0"/>
        <v>26</v>
      </c>
      <c r="H19" s="135"/>
    </row>
    <row r="20" spans="2:8" s="133" customFormat="1" ht="12.75">
      <c r="B20" s="137"/>
      <c r="C20" s="135" t="s">
        <v>524</v>
      </c>
      <c r="D20" s="368">
        <v>3</v>
      </c>
      <c r="E20" s="368">
        <v>8</v>
      </c>
      <c r="F20" s="368">
        <v>58</v>
      </c>
      <c r="G20" s="366">
        <f t="shared" si="0"/>
        <v>69</v>
      </c>
      <c r="H20" s="135"/>
    </row>
    <row r="21" spans="2:8" s="133" customFormat="1" ht="12.75">
      <c r="B21" s="137"/>
      <c r="C21" s="135" t="s">
        <v>525</v>
      </c>
      <c r="D21" s="368">
        <v>2</v>
      </c>
      <c r="E21" s="368">
        <v>8</v>
      </c>
      <c r="F21" s="368">
        <v>58</v>
      </c>
      <c r="G21" s="366">
        <f t="shared" si="0"/>
        <v>68</v>
      </c>
      <c r="H21" s="135"/>
    </row>
    <row r="22" spans="2:8" s="133" customFormat="1" ht="21.75" customHeight="1">
      <c r="B22" s="205" t="s">
        <v>30</v>
      </c>
      <c r="C22" s="877" t="s">
        <v>843</v>
      </c>
      <c r="D22" s="877"/>
      <c r="E22" s="877"/>
      <c r="F22" s="877"/>
      <c r="G22" s="877"/>
      <c r="H22" s="877"/>
    </row>
    <row r="23" spans="1:8" s="133" customFormat="1" ht="12.75">
      <c r="A23" s="201" t="s">
        <v>279</v>
      </c>
      <c r="B23" s="200"/>
      <c r="C23" s="508" t="s">
        <v>758</v>
      </c>
      <c r="D23" s="200">
        <v>1</v>
      </c>
      <c r="E23" s="200">
        <v>0</v>
      </c>
      <c r="F23" s="200">
        <v>0</v>
      </c>
      <c r="G23" s="200">
        <f>D23+E23+F23</f>
        <v>1</v>
      </c>
      <c r="H23" s="135"/>
    </row>
    <row r="24" spans="1:8" s="133" customFormat="1" ht="12.75">
      <c r="A24" s="201"/>
      <c r="B24" s="200"/>
      <c r="C24" s="135" t="s">
        <v>516</v>
      </c>
      <c r="D24" s="137">
        <v>1</v>
      </c>
      <c r="E24" s="137">
        <v>0</v>
      </c>
      <c r="F24" s="137">
        <v>0</v>
      </c>
      <c r="G24" s="200">
        <f>D24+E24+F24</f>
        <v>1</v>
      </c>
      <c r="H24" s="135"/>
    </row>
    <row r="25" spans="2:8" ht="12.75">
      <c r="B25" s="137"/>
      <c r="C25" s="509" t="s">
        <v>517</v>
      </c>
      <c r="D25" s="137">
        <v>2</v>
      </c>
      <c r="E25" s="137">
        <v>8</v>
      </c>
      <c r="F25" s="137">
        <v>19</v>
      </c>
      <c r="G25" s="200">
        <f>D25+E25+F25</f>
        <v>29</v>
      </c>
      <c r="H25" s="137"/>
    </row>
    <row r="26" spans="2:8" ht="12.75">
      <c r="B26" s="137"/>
      <c r="C26" s="135" t="s">
        <v>515</v>
      </c>
      <c r="D26" s="137">
        <v>0</v>
      </c>
      <c r="E26" s="137">
        <v>0</v>
      </c>
      <c r="F26" s="137">
        <v>0</v>
      </c>
      <c r="G26" s="200">
        <f>D26+E26+F26</f>
        <v>0</v>
      </c>
      <c r="H26" s="137"/>
    </row>
    <row r="27" spans="2:8" ht="12.75">
      <c r="B27" s="137"/>
      <c r="C27" s="135" t="s">
        <v>809</v>
      </c>
      <c r="D27" s="137">
        <v>1</v>
      </c>
      <c r="E27" s="137">
        <v>0</v>
      </c>
      <c r="F27" s="137">
        <v>0</v>
      </c>
      <c r="G27" s="200">
        <f>D27+E27+F27</f>
        <v>1</v>
      </c>
      <c r="H27" s="137"/>
    </row>
    <row r="28" spans="2:8" ht="12.75">
      <c r="B28" s="194"/>
      <c r="C28" s="194"/>
      <c r="D28" s="194"/>
      <c r="E28" s="194"/>
      <c r="F28" s="194"/>
      <c r="G28" s="367"/>
      <c r="H28" s="194"/>
    </row>
    <row r="29" spans="2:8" ht="12.75">
      <c r="B29" s="194"/>
      <c r="C29" s="194"/>
      <c r="D29" s="194"/>
      <c r="E29" s="194"/>
      <c r="F29" s="194"/>
      <c r="G29" s="367"/>
      <c r="H29" s="194"/>
    </row>
    <row r="30" spans="2:8" ht="12.75">
      <c r="B30" s="194"/>
      <c r="C30" s="194"/>
      <c r="D30" s="194"/>
      <c r="E30" s="194"/>
      <c r="F30" s="194"/>
      <c r="G30" s="367"/>
      <c r="H30" s="194"/>
    </row>
    <row r="31" spans="7:8" ht="12.75" customHeight="1">
      <c r="G31" s="764"/>
      <c r="H31" s="764"/>
    </row>
    <row r="32" spans="7:8" ht="12.75" customHeight="1">
      <c r="G32" s="764" t="s">
        <v>1062</v>
      </c>
      <c r="H32" s="764"/>
    </row>
    <row r="33" spans="7:8" ht="12.75" customHeight="1">
      <c r="G33" s="764" t="s">
        <v>484</v>
      </c>
      <c r="H33" s="764"/>
    </row>
    <row r="34" spans="2:8" ht="12.75">
      <c r="B34" s="188" t="s">
        <v>12</v>
      </c>
      <c r="G34" s="759" t="s">
        <v>80</v>
      </c>
      <c r="H34" s="759"/>
    </row>
  </sheetData>
  <sheetProtection/>
  <mergeCells count="13">
    <mergeCell ref="H9:H10"/>
    <mergeCell ref="C12:H12"/>
    <mergeCell ref="C22:H22"/>
    <mergeCell ref="G31:H31"/>
    <mergeCell ref="G32:H32"/>
    <mergeCell ref="G33:H33"/>
    <mergeCell ref="G34:H34"/>
    <mergeCell ref="A2:H2"/>
    <mergeCell ref="A3:H3"/>
    <mergeCell ref="A5:H5"/>
    <mergeCell ref="B9:B10"/>
    <mergeCell ref="C9:C10"/>
    <mergeCell ref="D9:G9"/>
  </mergeCells>
  <printOptions horizontalCentered="1"/>
  <pageMargins left="0.7086614173228347" right="0.25" top="1.12" bottom="0" header="0.63" footer="0.31496062992125984"/>
  <pageSetup fitToHeight="1" fitToWidth="1" horizontalDpi="600" verticalDpi="600" orientation="landscape" paperSize="9" scale="97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4">
      <selection activeCell="F22" sqref="F22"/>
    </sheetView>
  </sheetViews>
  <sheetFormatPr defaultColWidth="9.140625" defaultRowHeight="12.75"/>
  <cols>
    <col min="1" max="1" width="5.7109375" style="0" customWidth="1"/>
    <col min="2" max="2" width="11.421875" style="0" customWidth="1"/>
    <col min="3" max="3" width="14.140625" style="0" customWidth="1"/>
    <col min="4" max="4" width="21.7109375" style="0" customWidth="1"/>
    <col min="5" max="5" width="19.7109375" style="0" customWidth="1"/>
    <col min="6" max="6" width="23.28125" style="0" customWidth="1"/>
    <col min="7" max="7" width="26.28125" style="0" customWidth="1"/>
    <col min="8" max="8" width="17.7109375" style="0" customWidth="1"/>
  </cols>
  <sheetData>
    <row r="1" ht="15">
      <c r="H1" s="181" t="s">
        <v>772</v>
      </c>
    </row>
    <row r="2" spans="1:7" ht="18">
      <c r="A2" s="760" t="s">
        <v>0</v>
      </c>
      <c r="B2" s="760"/>
      <c r="C2" s="760"/>
      <c r="D2" s="760"/>
      <c r="E2" s="760"/>
      <c r="F2" s="760"/>
      <c r="G2" s="760"/>
    </row>
    <row r="3" spans="1:7" ht="21">
      <c r="A3" s="761" t="s">
        <v>878</v>
      </c>
      <c r="B3" s="761"/>
      <c r="C3" s="761"/>
      <c r="D3" s="761"/>
      <c r="E3" s="761"/>
      <c r="F3" s="761"/>
      <c r="G3" s="761"/>
    </row>
    <row r="4" spans="1:2" ht="15">
      <c r="A4" s="183"/>
      <c r="B4" s="183"/>
    </row>
    <row r="5" spans="1:7" ht="18">
      <c r="A5" s="762" t="s">
        <v>773</v>
      </c>
      <c r="B5" s="762"/>
      <c r="C5" s="762"/>
      <c r="D5" s="762"/>
      <c r="E5" s="762"/>
      <c r="F5" s="762"/>
      <c r="G5" s="762"/>
    </row>
    <row r="6" spans="1:7" ht="12" customHeight="1">
      <c r="A6" s="517"/>
      <c r="B6" s="517"/>
      <c r="C6" s="517"/>
      <c r="D6" s="517"/>
      <c r="E6" s="517"/>
      <c r="F6" s="517"/>
      <c r="G6" s="517"/>
    </row>
    <row r="7" spans="1:2" ht="15">
      <c r="A7" s="184" t="s">
        <v>512</v>
      </c>
      <c r="B7" s="184"/>
    </row>
    <row r="8" spans="1:8" ht="15">
      <c r="A8" s="184"/>
      <c r="B8" s="184"/>
      <c r="G8" s="776" t="s">
        <v>931</v>
      </c>
      <c r="H8" s="776"/>
    </row>
    <row r="9" spans="1:8" ht="60">
      <c r="A9" s="265" t="s">
        <v>2</v>
      </c>
      <c r="B9" s="265" t="s">
        <v>3</v>
      </c>
      <c r="C9" s="266" t="s">
        <v>774</v>
      </c>
      <c r="D9" s="266" t="s">
        <v>775</v>
      </c>
      <c r="E9" s="266" t="s">
        <v>776</v>
      </c>
      <c r="F9" s="266" t="s">
        <v>777</v>
      </c>
      <c r="G9" s="522" t="s">
        <v>844</v>
      </c>
      <c r="H9" s="522" t="s">
        <v>819</v>
      </c>
    </row>
    <row r="10" spans="1:8" ht="15">
      <c r="A10" s="185" t="s">
        <v>260</v>
      </c>
      <c r="B10" s="185" t="s">
        <v>261</v>
      </c>
      <c r="C10" s="185" t="s">
        <v>262</v>
      </c>
      <c r="D10" s="185" t="s">
        <v>263</v>
      </c>
      <c r="E10" s="185" t="s">
        <v>264</v>
      </c>
      <c r="F10" s="185" t="s">
        <v>265</v>
      </c>
      <c r="G10" s="185" t="s">
        <v>266</v>
      </c>
      <c r="H10" s="185">
        <v>8</v>
      </c>
    </row>
    <row r="11" spans="1:8" ht="16.5" customHeight="1">
      <c r="A11" s="271">
        <v>1</v>
      </c>
      <c r="B11" s="276" t="s">
        <v>473</v>
      </c>
      <c r="C11" s="523">
        <f>'AT-10B'!D14</f>
        <v>917</v>
      </c>
      <c r="D11" s="523">
        <v>714</v>
      </c>
      <c r="E11" s="523">
        <v>100</v>
      </c>
      <c r="F11" s="523">
        <v>24</v>
      </c>
      <c r="G11" s="523">
        <v>100</v>
      </c>
      <c r="H11" s="9"/>
    </row>
    <row r="12" spans="1:8" ht="16.5" customHeight="1">
      <c r="A12" s="271">
        <v>2</v>
      </c>
      <c r="B12" s="276" t="s">
        <v>474</v>
      </c>
      <c r="C12" s="523">
        <f>'AT-10B'!D15</f>
        <v>875</v>
      </c>
      <c r="D12" s="523">
        <v>660</v>
      </c>
      <c r="E12" s="523">
        <v>23</v>
      </c>
      <c r="F12" s="523">
        <v>0</v>
      </c>
      <c r="G12" s="268">
        <v>100</v>
      </c>
      <c r="H12" s="9"/>
    </row>
    <row r="13" spans="1:8" ht="16.5" customHeight="1">
      <c r="A13" s="271">
        <v>3</v>
      </c>
      <c r="B13" s="276" t="s">
        <v>475</v>
      </c>
      <c r="C13" s="523">
        <f>'AT-10B'!D16</f>
        <v>668</v>
      </c>
      <c r="D13" s="523">
        <v>540</v>
      </c>
      <c r="E13" s="523">
        <v>53</v>
      </c>
      <c r="F13" s="523">
        <v>0</v>
      </c>
      <c r="G13" s="523">
        <v>50</v>
      </c>
      <c r="H13" s="9"/>
    </row>
    <row r="14" spans="1:8" ht="16.5" customHeight="1">
      <c r="A14" s="271">
        <v>4</v>
      </c>
      <c r="B14" s="276" t="s">
        <v>476</v>
      </c>
      <c r="C14" s="523">
        <f>'AT-10B'!D17</f>
        <v>810</v>
      </c>
      <c r="D14" s="523">
        <v>700</v>
      </c>
      <c r="E14" s="523">
        <v>110</v>
      </c>
      <c r="F14" s="523">
        <v>212</v>
      </c>
      <c r="G14" s="523">
        <v>50</v>
      </c>
      <c r="H14" s="9"/>
    </row>
    <row r="15" spans="1:8" ht="16.5" customHeight="1">
      <c r="A15" s="271">
        <v>5</v>
      </c>
      <c r="B15" s="276" t="s">
        <v>477</v>
      </c>
      <c r="C15" s="523">
        <f>'AT-10B'!D18</f>
        <v>925</v>
      </c>
      <c r="D15" s="523">
        <v>900</v>
      </c>
      <c r="E15" s="523">
        <v>174</v>
      </c>
      <c r="F15" s="523">
        <v>21</v>
      </c>
      <c r="G15" s="523">
        <v>50</v>
      </c>
      <c r="H15" s="9"/>
    </row>
    <row r="16" spans="1:8" ht="16.5" customHeight="1">
      <c r="A16" s="271">
        <v>6</v>
      </c>
      <c r="B16" s="276" t="s">
        <v>478</v>
      </c>
      <c r="C16" s="523">
        <f>'AT-10B'!D19</f>
        <v>470</v>
      </c>
      <c r="D16" s="523">
        <v>264</v>
      </c>
      <c r="E16" s="523">
        <v>87</v>
      </c>
      <c r="F16" s="523">
        <v>125</v>
      </c>
      <c r="G16" s="523">
        <v>50</v>
      </c>
      <c r="H16" s="9"/>
    </row>
    <row r="17" spans="1:8" ht="16.5" customHeight="1">
      <c r="A17" s="271">
        <v>7</v>
      </c>
      <c r="B17" s="276" t="s">
        <v>479</v>
      </c>
      <c r="C17" s="523">
        <f>'AT-10B'!D20</f>
        <v>719</v>
      </c>
      <c r="D17" s="523">
        <v>521</v>
      </c>
      <c r="E17" s="523">
        <v>23</v>
      </c>
      <c r="F17" s="523">
        <v>186</v>
      </c>
      <c r="G17" s="523">
        <v>100</v>
      </c>
      <c r="H17" s="9"/>
    </row>
    <row r="18" spans="1:8" ht="16.5" customHeight="1">
      <c r="A18" s="271">
        <v>8</v>
      </c>
      <c r="B18" s="276" t="s">
        <v>480</v>
      </c>
      <c r="C18" s="523">
        <f>'AT-10B'!D21</f>
        <v>1140</v>
      </c>
      <c r="D18" s="523">
        <v>998</v>
      </c>
      <c r="E18" s="523">
        <v>242</v>
      </c>
      <c r="F18" s="523">
        <v>259</v>
      </c>
      <c r="G18" s="523">
        <v>100</v>
      </c>
      <c r="H18" s="9"/>
    </row>
    <row r="19" spans="1:8" ht="16.5" customHeight="1">
      <c r="A19" s="148"/>
      <c r="B19" s="276" t="s">
        <v>481</v>
      </c>
      <c r="C19" s="276">
        <f>SUM(C11:C18)</f>
        <v>6524</v>
      </c>
      <c r="D19" s="276">
        <f>SUM(D11:D18)</f>
        <v>5297</v>
      </c>
      <c r="E19" s="276">
        <f>SUM(E11:E18)</f>
        <v>812</v>
      </c>
      <c r="F19" s="276">
        <f>SUM(F11:F18)</f>
        <v>827</v>
      </c>
      <c r="G19" s="276">
        <f>SUM(G11:G18)</f>
        <v>600</v>
      </c>
      <c r="H19" s="9"/>
    </row>
    <row r="20" ht="12.75">
      <c r="A20" s="187"/>
    </row>
    <row r="21" ht="12.75">
      <c r="F21">
        <f>1639/C19</f>
        <v>0.2512262415695892</v>
      </c>
    </row>
    <row r="23" spans="1:7" ht="12.75">
      <c r="A23" s="520"/>
      <c r="B23" s="520"/>
      <c r="C23" s="520"/>
      <c r="D23" s="520"/>
      <c r="E23" s="520"/>
      <c r="F23" s="201"/>
      <c r="G23" s="201"/>
    </row>
    <row r="24" spans="1:8" ht="12.75" customHeight="1">
      <c r="A24" s="520"/>
      <c r="B24" s="520"/>
      <c r="C24" s="520"/>
      <c r="D24" s="520"/>
      <c r="E24" s="520"/>
      <c r="G24" s="764" t="s">
        <v>1062</v>
      </c>
      <c r="H24" s="764"/>
    </row>
    <row r="25" spans="1:8" ht="12.75" customHeight="1">
      <c r="A25" s="520"/>
      <c r="B25" s="520"/>
      <c r="C25" s="520"/>
      <c r="D25" s="520"/>
      <c r="E25" s="520"/>
      <c r="G25" s="764" t="s">
        <v>484</v>
      </c>
      <c r="H25" s="764"/>
    </row>
    <row r="26" spans="1:8" ht="12.75">
      <c r="A26" s="520" t="s">
        <v>12</v>
      </c>
      <c r="C26" s="520"/>
      <c r="D26" s="520"/>
      <c r="E26" s="520"/>
      <c r="G26" s="759" t="s">
        <v>80</v>
      </c>
      <c r="H26" s="759"/>
    </row>
  </sheetData>
  <sheetProtection/>
  <mergeCells count="7">
    <mergeCell ref="G25:H25"/>
    <mergeCell ref="G26:H26"/>
    <mergeCell ref="A2:G2"/>
    <mergeCell ref="A3:G3"/>
    <mergeCell ref="A5:G5"/>
    <mergeCell ref="G24:H24"/>
    <mergeCell ref="G8:H8"/>
  </mergeCells>
  <printOptions/>
  <pageMargins left="0.52" right="0.2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6.421875" style="0" customWidth="1"/>
    <col min="2" max="2" width="10.8515625" style="0" customWidth="1"/>
    <col min="3" max="3" width="17.28125" style="0" customWidth="1"/>
    <col min="4" max="4" width="19.421875" style="0" customWidth="1"/>
    <col min="5" max="5" width="12.28125" style="0" customWidth="1"/>
    <col min="6" max="6" width="12.00390625" style="0" customWidth="1"/>
    <col min="7" max="7" width="17.7109375" style="0" customWidth="1"/>
    <col min="8" max="8" width="57.8515625" style="0" customWidth="1"/>
    <col min="9" max="9" width="0.13671875" style="0" customWidth="1"/>
  </cols>
  <sheetData>
    <row r="1" ht="15">
      <c r="H1" s="181" t="s">
        <v>807</v>
      </c>
    </row>
    <row r="2" ht="15">
      <c r="H2" s="181"/>
    </row>
    <row r="3" spans="1:10" ht="18">
      <c r="A3" s="760" t="s">
        <v>0</v>
      </c>
      <c r="B3" s="760"/>
      <c r="C3" s="760"/>
      <c r="D3" s="760"/>
      <c r="E3" s="760"/>
      <c r="F3" s="760"/>
      <c r="G3" s="760"/>
      <c r="H3" s="760"/>
      <c r="I3" s="208"/>
      <c r="J3" s="208"/>
    </row>
    <row r="4" spans="1:8" ht="21">
      <c r="A4" s="761" t="s">
        <v>878</v>
      </c>
      <c r="B4" s="761"/>
      <c r="C4" s="761"/>
      <c r="D4" s="761"/>
      <c r="E4" s="761"/>
      <c r="F4" s="761"/>
      <c r="G4" s="761"/>
      <c r="H4" s="761"/>
    </row>
    <row r="5" spans="1:2" ht="15">
      <c r="A5" s="183"/>
      <c r="B5" s="183"/>
    </row>
    <row r="6" spans="1:8" ht="18" customHeight="1">
      <c r="A6" s="762" t="s">
        <v>826</v>
      </c>
      <c r="B6" s="762"/>
      <c r="C6" s="762"/>
      <c r="D6" s="762"/>
      <c r="E6" s="762"/>
      <c r="F6" s="762"/>
      <c r="G6" s="762"/>
      <c r="H6" s="762"/>
    </row>
    <row r="7" spans="1:2" ht="15">
      <c r="A7" s="184" t="s">
        <v>512</v>
      </c>
      <c r="B7" s="184"/>
    </row>
    <row r="8" spans="1:8" ht="15">
      <c r="A8" s="184"/>
      <c r="B8" s="184"/>
      <c r="F8" s="763" t="s">
        <v>931</v>
      </c>
      <c r="G8" s="763"/>
      <c r="H8" s="763"/>
    </row>
    <row r="9" spans="1:9" ht="59.25" customHeight="1">
      <c r="A9" s="265" t="s">
        <v>2</v>
      </c>
      <c r="B9" s="265" t="s">
        <v>3</v>
      </c>
      <c r="C9" s="266" t="s">
        <v>820</v>
      </c>
      <c r="D9" s="266" t="s">
        <v>821</v>
      </c>
      <c r="E9" s="266" t="s">
        <v>822</v>
      </c>
      <c r="F9" s="266" t="s">
        <v>823</v>
      </c>
      <c r="G9" s="554" t="s">
        <v>824</v>
      </c>
      <c r="H9" s="522" t="s">
        <v>825</v>
      </c>
      <c r="I9" s="9"/>
    </row>
    <row r="10" spans="1:9" s="181" customFormat="1" ht="15">
      <c r="A10" s="185" t="s">
        <v>260</v>
      </c>
      <c r="B10" s="185" t="s">
        <v>261</v>
      </c>
      <c r="C10" s="185" t="s">
        <v>262</v>
      </c>
      <c r="D10" s="185" t="s">
        <v>263</v>
      </c>
      <c r="E10" s="185" t="s">
        <v>264</v>
      </c>
      <c r="F10" s="185" t="s">
        <v>265</v>
      </c>
      <c r="G10" s="553" t="s">
        <v>266</v>
      </c>
      <c r="H10" s="212">
        <v>8</v>
      </c>
      <c r="I10" s="212"/>
    </row>
    <row r="11" spans="1:9" s="181" customFormat="1" ht="15">
      <c r="A11" s="555">
        <v>1</v>
      </c>
      <c r="B11" s="276" t="s">
        <v>473</v>
      </c>
      <c r="C11" s="579">
        <f>('AT-8_Hon_CCH_Pry'!D14+'AT-8A_Hon_CCH_UPry'!D13)</f>
        <v>1792</v>
      </c>
      <c r="D11" s="579">
        <f>10127*C11/11011</f>
        <v>1648.1322314049587</v>
      </c>
      <c r="E11" s="579">
        <v>0</v>
      </c>
      <c r="F11" s="579"/>
      <c r="G11" s="579"/>
      <c r="H11" s="594" t="s">
        <v>870</v>
      </c>
      <c r="I11" s="212"/>
    </row>
    <row r="12" spans="1:9" s="181" customFormat="1" ht="15">
      <c r="A12" s="555">
        <v>2</v>
      </c>
      <c r="B12" s="276" t="s">
        <v>474</v>
      </c>
      <c r="C12" s="579">
        <f>('AT-8_Hon_CCH_Pry'!D15+'AT-8A_Hon_CCH_UPry'!D14)</f>
        <v>1516</v>
      </c>
      <c r="D12" s="579">
        <f aca="true" t="shared" si="0" ref="D12:D18">10127*C12/11011</f>
        <v>1394.2904368358913</v>
      </c>
      <c r="E12" s="579">
        <v>0</v>
      </c>
      <c r="F12" s="579"/>
      <c r="G12" s="579"/>
      <c r="H12" s="595" t="s">
        <v>871</v>
      </c>
      <c r="I12" s="212"/>
    </row>
    <row r="13" spans="1:9" s="181" customFormat="1" ht="15">
      <c r="A13" s="555">
        <v>3</v>
      </c>
      <c r="B13" s="276" t="s">
        <v>475</v>
      </c>
      <c r="C13" s="579">
        <f>('AT-8_Hon_CCH_Pry'!D16+'AT-8A_Hon_CCH_UPry'!D15)</f>
        <v>1043</v>
      </c>
      <c r="D13" s="579">
        <f t="shared" si="0"/>
        <v>959.2644628099174</v>
      </c>
      <c r="E13" s="579">
        <v>0</v>
      </c>
      <c r="F13" s="579"/>
      <c r="G13" s="579"/>
      <c r="H13" s="595" t="s">
        <v>872</v>
      </c>
      <c r="I13" s="212"/>
    </row>
    <row r="14" spans="1:9" s="181" customFormat="1" ht="15">
      <c r="A14" s="555">
        <v>4</v>
      </c>
      <c r="B14" s="276" t="s">
        <v>476</v>
      </c>
      <c r="C14" s="579">
        <f>('AT-8_Hon_CCH_Pry'!D17+'AT-8A_Hon_CCH_UPry'!D16)</f>
        <v>1226</v>
      </c>
      <c r="D14" s="579">
        <f t="shared" si="0"/>
        <v>1127.5726092089728</v>
      </c>
      <c r="E14" s="579">
        <v>0</v>
      </c>
      <c r="F14" s="579"/>
      <c r="G14" s="579"/>
      <c r="H14" s="878" t="s">
        <v>873</v>
      </c>
      <c r="I14" s="212"/>
    </row>
    <row r="15" spans="1:9" s="181" customFormat="1" ht="15">
      <c r="A15" s="555">
        <v>5</v>
      </c>
      <c r="B15" s="276" t="s">
        <v>477</v>
      </c>
      <c r="C15" s="579">
        <f>('AT-8_Hon_CCH_Pry'!D18+'AT-8A_Hon_CCH_UPry'!D17)</f>
        <v>1518</v>
      </c>
      <c r="D15" s="579">
        <f t="shared" si="0"/>
        <v>1396.1298701298701</v>
      </c>
      <c r="E15" s="579">
        <v>0</v>
      </c>
      <c r="F15" s="579"/>
      <c r="G15" s="579"/>
      <c r="H15" s="878"/>
      <c r="I15" s="212"/>
    </row>
    <row r="16" spans="1:9" s="181" customFormat="1" ht="15">
      <c r="A16" s="555">
        <v>6</v>
      </c>
      <c r="B16" s="276" t="s">
        <v>478</v>
      </c>
      <c r="C16" s="579">
        <f>('AT-8_Hon_CCH_Pry'!D19+'AT-8A_Hon_CCH_UPry'!D18)</f>
        <v>894</v>
      </c>
      <c r="D16" s="579">
        <f t="shared" si="0"/>
        <v>822.2266824085006</v>
      </c>
      <c r="E16" s="579">
        <v>0</v>
      </c>
      <c r="F16" s="579"/>
      <c r="G16" s="579"/>
      <c r="H16" s="878"/>
      <c r="I16" s="212"/>
    </row>
    <row r="17" spans="1:9" s="181" customFormat="1" ht="15">
      <c r="A17" s="555">
        <v>7</v>
      </c>
      <c r="B17" s="276" t="s">
        <v>479</v>
      </c>
      <c r="C17" s="579">
        <f>('AT-8_Hon_CCH_Pry'!D20+'AT-8A_Hon_CCH_UPry'!D19)</f>
        <v>1323</v>
      </c>
      <c r="D17" s="579">
        <f t="shared" si="0"/>
        <v>1216.7851239669421</v>
      </c>
      <c r="E17" s="579">
        <v>0</v>
      </c>
      <c r="F17" s="579"/>
      <c r="G17" s="579"/>
      <c r="H17" s="878"/>
      <c r="I17" s="212"/>
    </row>
    <row r="18" spans="1:9" s="181" customFormat="1" ht="15">
      <c r="A18" s="555">
        <v>8</v>
      </c>
      <c r="B18" s="276" t="s">
        <v>480</v>
      </c>
      <c r="C18" s="579">
        <f>('AT-8_Hon_CCH_Pry'!D21+'AT-8A_Hon_CCH_UPry'!D20)</f>
        <v>1699</v>
      </c>
      <c r="D18" s="579">
        <f t="shared" si="0"/>
        <v>1562.5985832349468</v>
      </c>
      <c r="E18" s="579">
        <v>0</v>
      </c>
      <c r="F18" s="579"/>
      <c r="G18" s="579"/>
      <c r="H18" s="879"/>
      <c r="I18" s="212"/>
    </row>
    <row r="19" spans="1:9" ht="12.75">
      <c r="A19" s="27"/>
      <c r="B19" s="275" t="s">
        <v>481</v>
      </c>
      <c r="C19" s="580">
        <f>SUM(C11:C18)</f>
        <v>11011</v>
      </c>
      <c r="D19" s="580">
        <f>SUM(D11:D18)</f>
        <v>10127</v>
      </c>
      <c r="E19" s="580">
        <f>SUM(E11:E18)</f>
        <v>0</v>
      </c>
      <c r="F19" s="580"/>
      <c r="G19" s="580"/>
      <c r="H19" s="580"/>
      <c r="I19" s="9"/>
    </row>
    <row r="20" ht="12.75">
      <c r="A20" s="187"/>
    </row>
    <row r="21" ht="12.75">
      <c r="A21" s="187"/>
    </row>
    <row r="22" ht="12.75">
      <c r="E22" s="16" t="s">
        <v>11</v>
      </c>
    </row>
    <row r="24" spans="1:9" ht="15" customHeight="1">
      <c r="A24" s="520"/>
      <c r="B24" s="520"/>
      <c r="C24" s="520"/>
      <c r="D24" s="520"/>
      <c r="E24" s="520"/>
      <c r="H24" s="521" t="s">
        <v>1062</v>
      </c>
      <c r="I24" s="581"/>
    </row>
    <row r="25" spans="1:9" ht="15" customHeight="1">
      <c r="A25" s="520"/>
      <c r="B25" s="520"/>
      <c r="C25" s="520"/>
      <c r="D25" s="520"/>
      <c r="E25" s="520"/>
      <c r="H25" s="189" t="s">
        <v>484</v>
      </c>
      <c r="I25" s="201"/>
    </row>
    <row r="26" spans="1:9" ht="12.75">
      <c r="A26" s="520" t="s">
        <v>12</v>
      </c>
      <c r="C26" s="520"/>
      <c r="D26" s="520"/>
      <c r="E26" s="520"/>
      <c r="G26" s="642" t="s">
        <v>80</v>
      </c>
      <c r="H26" s="582"/>
      <c r="I26" s="582"/>
    </row>
    <row r="27" spans="1:13" ht="12.75">
      <c r="A27" s="520"/>
      <c r="B27" s="520"/>
      <c r="C27" s="520"/>
      <c r="D27" s="520"/>
      <c r="E27" s="520"/>
      <c r="F27" s="520"/>
      <c r="G27" s="520"/>
      <c r="H27" s="520"/>
      <c r="I27" s="520"/>
      <c r="J27" s="520"/>
      <c r="K27" s="520"/>
      <c r="L27" s="520"/>
      <c r="M27" s="520"/>
    </row>
  </sheetData>
  <sheetProtection/>
  <mergeCells count="5">
    <mergeCell ref="F8:H8"/>
    <mergeCell ref="H14:H18"/>
    <mergeCell ref="A3:H3"/>
    <mergeCell ref="A4:H4"/>
    <mergeCell ref="A6:H6"/>
  </mergeCells>
  <printOptions/>
  <pageMargins left="0.6" right="0.23" top="0.95" bottom="0.75" header="0.3" footer="0.3"/>
  <pageSetup horizontalDpi="600" verticalDpi="600" orientation="landscape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view="pageBreakPreview" zoomScaleSheetLayoutView="100" zoomScalePageLayoutView="0" workbookViewId="0" topLeftCell="A7">
      <selection activeCell="I35" sqref="I35:K35"/>
    </sheetView>
  </sheetViews>
  <sheetFormatPr defaultColWidth="9.140625" defaultRowHeight="12.75"/>
  <cols>
    <col min="1" max="1" width="5.00390625" style="0" customWidth="1"/>
    <col min="2" max="2" width="12.00390625" style="0" customWidth="1"/>
    <col min="3" max="4" width="14.00390625" style="0" customWidth="1"/>
    <col min="5" max="5" width="11.57421875" style="0" customWidth="1"/>
    <col min="6" max="6" width="15.00390625" style="0" customWidth="1"/>
    <col min="7" max="7" width="9.7109375" style="0" customWidth="1"/>
    <col min="8" max="8" width="15.140625" style="0" customWidth="1"/>
    <col min="9" max="9" width="16.57421875" style="0" customWidth="1"/>
    <col min="10" max="10" width="18.28125" style="0" customWidth="1"/>
    <col min="11" max="11" width="14.140625" style="0" customWidth="1"/>
  </cols>
  <sheetData>
    <row r="1" spans="4:11" ht="15">
      <c r="D1" s="676"/>
      <c r="E1" s="676"/>
      <c r="H1" s="44"/>
      <c r="I1" s="833" t="s">
        <v>64</v>
      </c>
      <c r="J1" s="833"/>
      <c r="K1" s="833"/>
    </row>
    <row r="2" spans="1:10" ht="15">
      <c r="A2" s="772" t="s">
        <v>0</v>
      </c>
      <c r="B2" s="772"/>
      <c r="C2" s="772"/>
      <c r="D2" s="772"/>
      <c r="E2" s="772"/>
      <c r="F2" s="772"/>
      <c r="G2" s="772"/>
      <c r="H2" s="772"/>
      <c r="I2" s="772"/>
      <c r="J2" s="772"/>
    </row>
    <row r="3" spans="1:10" ht="20.25">
      <c r="A3" s="701" t="s">
        <v>878</v>
      </c>
      <c r="B3" s="701"/>
      <c r="C3" s="701"/>
      <c r="D3" s="701"/>
      <c r="E3" s="701"/>
      <c r="F3" s="701"/>
      <c r="G3" s="701"/>
      <c r="H3" s="701"/>
      <c r="I3" s="701"/>
      <c r="J3" s="701"/>
    </row>
    <row r="4" ht="10.5" customHeight="1"/>
    <row r="5" spans="1:11" s="16" customFormat="1" ht="18.75" customHeight="1">
      <c r="A5" s="883" t="s">
        <v>436</v>
      </c>
      <c r="B5" s="883"/>
      <c r="C5" s="883"/>
      <c r="D5" s="883"/>
      <c r="E5" s="883"/>
      <c r="F5" s="883"/>
      <c r="G5" s="883"/>
      <c r="H5" s="883"/>
      <c r="I5" s="883"/>
      <c r="J5" s="883"/>
      <c r="K5" s="883"/>
    </row>
    <row r="6" spans="1:10" s="16" customFormat="1" ht="5.25" customHeight="1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1" s="16" customFormat="1" ht="12.75">
      <c r="A7" s="668" t="s">
        <v>472</v>
      </c>
      <c r="B7" s="668"/>
      <c r="E7" s="882"/>
      <c r="F7" s="882"/>
      <c r="G7" s="882"/>
      <c r="H7" s="882"/>
      <c r="I7" s="882" t="s">
        <v>938</v>
      </c>
      <c r="J7" s="882"/>
      <c r="K7" s="882"/>
    </row>
    <row r="8" spans="3:10" s="14" customFormat="1" ht="15.75" hidden="1">
      <c r="C8" s="772" t="s">
        <v>13</v>
      </c>
      <c r="D8" s="772"/>
      <c r="E8" s="772"/>
      <c r="F8" s="772"/>
      <c r="G8" s="772"/>
      <c r="H8" s="772"/>
      <c r="I8" s="772"/>
      <c r="J8" s="772"/>
    </row>
    <row r="9" spans="1:19" s="270" customFormat="1" ht="21.75" customHeight="1">
      <c r="A9" s="708" t="s">
        <v>21</v>
      </c>
      <c r="B9" s="708" t="s">
        <v>54</v>
      </c>
      <c r="C9" s="664" t="s">
        <v>462</v>
      </c>
      <c r="D9" s="665"/>
      <c r="E9" s="664" t="s">
        <v>35</v>
      </c>
      <c r="F9" s="665"/>
      <c r="G9" s="664" t="s">
        <v>36</v>
      </c>
      <c r="H9" s="665"/>
      <c r="I9" s="674" t="s">
        <v>101</v>
      </c>
      <c r="J9" s="674"/>
      <c r="K9" s="708" t="s">
        <v>236</v>
      </c>
      <c r="R9" s="271"/>
      <c r="S9" s="272"/>
    </row>
    <row r="10" spans="1:11" s="282" customFormat="1" ht="38.25">
      <c r="A10" s="710"/>
      <c r="B10" s="710"/>
      <c r="C10" s="257" t="s">
        <v>37</v>
      </c>
      <c r="D10" s="257" t="s">
        <v>499</v>
      </c>
      <c r="E10" s="257" t="s">
        <v>37</v>
      </c>
      <c r="F10" s="257" t="s">
        <v>755</v>
      </c>
      <c r="G10" s="257" t="s">
        <v>37</v>
      </c>
      <c r="H10" s="257" t="s">
        <v>753</v>
      </c>
      <c r="I10" s="257" t="s">
        <v>133</v>
      </c>
      <c r="J10" s="257" t="s">
        <v>756</v>
      </c>
      <c r="K10" s="710"/>
    </row>
    <row r="11" spans="1:11" ht="12.75">
      <c r="A11" s="139">
        <v>1</v>
      </c>
      <c r="B11" s="139">
        <v>2</v>
      </c>
      <c r="C11" s="139">
        <v>3</v>
      </c>
      <c r="D11" s="139">
        <v>4</v>
      </c>
      <c r="E11" s="139">
        <v>5</v>
      </c>
      <c r="F11" s="139">
        <v>6</v>
      </c>
      <c r="G11" s="139">
        <v>7</v>
      </c>
      <c r="H11" s="139">
        <v>8</v>
      </c>
      <c r="I11" s="139">
        <v>9</v>
      </c>
      <c r="J11" s="139">
        <v>10</v>
      </c>
      <c r="K11" s="3">
        <v>11</v>
      </c>
    </row>
    <row r="12" spans="1:11" ht="15" customHeight="1">
      <c r="A12" s="8">
        <v>1</v>
      </c>
      <c r="B12" s="18" t="s">
        <v>377</v>
      </c>
      <c r="C12" s="9">
        <v>962</v>
      </c>
      <c r="D12" s="343">
        <v>577.25</v>
      </c>
      <c r="E12" s="9">
        <f>C12</f>
        <v>962</v>
      </c>
      <c r="F12" s="343">
        <f>D12</f>
        <v>577.25</v>
      </c>
      <c r="G12" s="9">
        <v>0</v>
      </c>
      <c r="H12" s="343">
        <v>0</v>
      </c>
      <c r="I12" s="9">
        <f>C12-(E12+G12)</f>
        <v>0</v>
      </c>
      <c r="J12" s="343">
        <f>D12-(F12+H12)</f>
        <v>0</v>
      </c>
      <c r="K12" s="9">
        <v>562</v>
      </c>
    </row>
    <row r="13" spans="1:11" ht="15" customHeight="1">
      <c r="A13" s="8">
        <v>2</v>
      </c>
      <c r="B13" s="18" t="s">
        <v>378</v>
      </c>
      <c r="C13" s="9">
        <v>198</v>
      </c>
      <c r="D13" s="343">
        <v>118.8</v>
      </c>
      <c r="E13" s="9">
        <f aca="true" t="shared" si="0" ref="E13:E25">C13</f>
        <v>198</v>
      </c>
      <c r="F13" s="343">
        <f aca="true" t="shared" si="1" ref="F13:F25">D13</f>
        <v>118.8</v>
      </c>
      <c r="G13" s="9">
        <v>0</v>
      </c>
      <c r="H13" s="343">
        <v>0</v>
      </c>
      <c r="I13" s="9">
        <f aca="true" t="shared" si="2" ref="I13:I19">C13-(E13+G13)</f>
        <v>0</v>
      </c>
      <c r="J13" s="343">
        <f aca="true" t="shared" si="3" ref="J13:J19">D13-(F13+H13)</f>
        <v>0</v>
      </c>
      <c r="K13" s="9">
        <v>0</v>
      </c>
    </row>
    <row r="14" spans="1:11" ht="15" customHeight="1">
      <c r="A14" s="8">
        <v>3</v>
      </c>
      <c r="B14" s="18" t="s">
        <v>379</v>
      </c>
      <c r="C14" s="9">
        <v>722</v>
      </c>
      <c r="D14" s="343">
        <v>433.2</v>
      </c>
      <c r="E14" s="9">
        <f t="shared" si="0"/>
        <v>722</v>
      </c>
      <c r="F14" s="343">
        <f t="shared" si="1"/>
        <v>433.2</v>
      </c>
      <c r="G14" s="9">
        <v>0</v>
      </c>
      <c r="H14" s="343">
        <v>0</v>
      </c>
      <c r="I14" s="9">
        <f t="shared" si="2"/>
        <v>0</v>
      </c>
      <c r="J14" s="343">
        <f t="shared" si="3"/>
        <v>0</v>
      </c>
      <c r="K14" s="9">
        <v>0</v>
      </c>
    </row>
    <row r="15" spans="1:11" ht="15" customHeight="1">
      <c r="A15" s="8">
        <v>4</v>
      </c>
      <c r="B15" s="18" t="s">
        <v>380</v>
      </c>
      <c r="C15" s="9">
        <v>1002</v>
      </c>
      <c r="D15" s="343">
        <v>1991.2</v>
      </c>
      <c r="E15" s="9">
        <f t="shared" si="0"/>
        <v>1002</v>
      </c>
      <c r="F15" s="343">
        <f t="shared" si="1"/>
        <v>1991.2</v>
      </c>
      <c r="G15" s="9">
        <v>0</v>
      </c>
      <c r="H15" s="343">
        <v>0</v>
      </c>
      <c r="I15" s="9">
        <f t="shared" si="2"/>
        <v>0</v>
      </c>
      <c r="J15" s="343">
        <f t="shared" si="3"/>
        <v>0</v>
      </c>
      <c r="K15" s="9">
        <v>0</v>
      </c>
    </row>
    <row r="16" spans="1:11" ht="15" customHeight="1">
      <c r="A16" s="8">
        <v>5</v>
      </c>
      <c r="B16" s="18" t="s">
        <v>381</v>
      </c>
      <c r="C16" s="9">
        <v>0</v>
      </c>
      <c r="D16" s="343">
        <v>0</v>
      </c>
      <c r="E16" s="9">
        <f t="shared" si="0"/>
        <v>0</v>
      </c>
      <c r="F16" s="343">
        <f t="shared" si="1"/>
        <v>0</v>
      </c>
      <c r="G16" s="9">
        <v>0</v>
      </c>
      <c r="H16" s="343">
        <v>0</v>
      </c>
      <c r="I16" s="9">
        <f t="shared" si="2"/>
        <v>0</v>
      </c>
      <c r="J16" s="343">
        <f t="shared" si="3"/>
        <v>0</v>
      </c>
      <c r="K16" s="9">
        <v>0</v>
      </c>
    </row>
    <row r="17" spans="1:11" ht="15" customHeight="1">
      <c r="A17" s="8">
        <v>6</v>
      </c>
      <c r="B17" s="18" t="s">
        <v>382</v>
      </c>
      <c r="C17" s="9">
        <v>1730</v>
      </c>
      <c r="D17" s="343">
        <v>3499.54</v>
      </c>
      <c r="E17" s="9">
        <v>1991</v>
      </c>
      <c r="F17" s="343">
        <f t="shared" si="1"/>
        <v>3499.54</v>
      </c>
      <c r="G17" s="9">
        <v>0</v>
      </c>
      <c r="H17" s="343">
        <v>0</v>
      </c>
      <c r="I17" s="9">
        <v>0</v>
      </c>
      <c r="J17" s="343">
        <f t="shared" si="3"/>
        <v>0</v>
      </c>
      <c r="K17" s="9">
        <v>0</v>
      </c>
    </row>
    <row r="18" spans="1:11" ht="15" customHeight="1">
      <c r="A18" s="8">
        <v>7</v>
      </c>
      <c r="B18" s="18" t="s">
        <v>383</v>
      </c>
      <c r="C18" s="9">
        <v>0</v>
      </c>
      <c r="D18" s="343">
        <v>0</v>
      </c>
      <c r="E18" s="9">
        <f t="shared" si="0"/>
        <v>0</v>
      </c>
      <c r="F18" s="343">
        <f t="shared" si="1"/>
        <v>0</v>
      </c>
      <c r="G18" s="9">
        <v>0</v>
      </c>
      <c r="H18" s="343">
        <v>0</v>
      </c>
      <c r="I18" s="9">
        <f t="shared" si="2"/>
        <v>0</v>
      </c>
      <c r="J18" s="343">
        <f t="shared" si="3"/>
        <v>0</v>
      </c>
      <c r="K18" s="9">
        <v>0</v>
      </c>
    </row>
    <row r="19" spans="1:11" s="13" customFormat="1" ht="15" customHeight="1">
      <c r="A19" s="8">
        <v>8</v>
      </c>
      <c r="B19" s="18" t="s">
        <v>251</v>
      </c>
      <c r="C19" s="9">
        <v>530</v>
      </c>
      <c r="D19" s="343">
        <v>851.33</v>
      </c>
      <c r="E19" s="9">
        <f t="shared" si="0"/>
        <v>530</v>
      </c>
      <c r="F19" s="343">
        <f t="shared" si="1"/>
        <v>851.33</v>
      </c>
      <c r="G19" s="9">
        <v>0</v>
      </c>
      <c r="H19" s="343">
        <v>0</v>
      </c>
      <c r="I19" s="9">
        <f t="shared" si="2"/>
        <v>0</v>
      </c>
      <c r="J19" s="343">
        <f t="shared" si="3"/>
        <v>0</v>
      </c>
      <c r="K19" s="9">
        <v>0</v>
      </c>
    </row>
    <row r="20" spans="1:11" s="13" customFormat="1" ht="15" customHeight="1">
      <c r="A20" s="8">
        <v>9</v>
      </c>
      <c r="B20" s="18" t="s">
        <v>635</v>
      </c>
      <c r="C20" s="9">
        <v>160</v>
      </c>
      <c r="D20" s="343">
        <v>292.61</v>
      </c>
      <c r="E20" s="9">
        <f t="shared" si="0"/>
        <v>160</v>
      </c>
      <c r="F20" s="343">
        <f t="shared" si="1"/>
        <v>292.61</v>
      </c>
      <c r="G20" s="9">
        <v>0</v>
      </c>
      <c r="H20" s="343">
        <v>0</v>
      </c>
      <c r="I20" s="9">
        <f aca="true" t="shared" si="4" ref="I20:J25">C20-(E20+G20)</f>
        <v>0</v>
      </c>
      <c r="J20" s="343">
        <f t="shared" si="4"/>
        <v>0</v>
      </c>
      <c r="K20" s="9">
        <v>0</v>
      </c>
    </row>
    <row r="21" spans="1:11" s="13" customFormat="1" ht="15" customHeight="1">
      <c r="A21" s="8">
        <v>10</v>
      </c>
      <c r="B21" s="18" t="s">
        <v>686</v>
      </c>
      <c r="C21" s="9">
        <v>0</v>
      </c>
      <c r="D21" s="343">
        <v>0</v>
      </c>
      <c r="E21" s="9">
        <f aca="true" t="shared" si="5" ref="E21:F24">C21</f>
        <v>0</v>
      </c>
      <c r="F21" s="343">
        <f t="shared" si="5"/>
        <v>0</v>
      </c>
      <c r="G21" s="9">
        <v>0</v>
      </c>
      <c r="H21" s="343">
        <v>0</v>
      </c>
      <c r="I21" s="9">
        <f t="shared" si="4"/>
        <v>0</v>
      </c>
      <c r="J21" s="343">
        <f t="shared" si="4"/>
        <v>0</v>
      </c>
      <c r="K21" s="9">
        <v>0</v>
      </c>
    </row>
    <row r="22" spans="1:11" s="13" customFormat="1" ht="15" customHeight="1">
      <c r="A22" s="8">
        <v>11</v>
      </c>
      <c r="B22" s="18" t="s">
        <v>757</v>
      </c>
      <c r="C22" s="9">
        <v>0</v>
      </c>
      <c r="D22" s="343">
        <v>0</v>
      </c>
      <c r="E22" s="9">
        <f t="shared" si="5"/>
        <v>0</v>
      </c>
      <c r="F22" s="343">
        <f t="shared" si="5"/>
        <v>0</v>
      </c>
      <c r="G22" s="9">
        <v>0</v>
      </c>
      <c r="H22" s="343">
        <v>0</v>
      </c>
      <c r="I22" s="9">
        <f aca="true" t="shared" si="6" ref="I22:J24">C22-(E22+G22)</f>
        <v>0</v>
      </c>
      <c r="J22" s="343">
        <f t="shared" si="6"/>
        <v>0</v>
      </c>
      <c r="K22" s="9">
        <v>0</v>
      </c>
    </row>
    <row r="23" spans="1:11" s="13" customFormat="1" ht="15" customHeight="1">
      <c r="A23" s="8">
        <v>12</v>
      </c>
      <c r="B23" s="18" t="s">
        <v>858</v>
      </c>
      <c r="C23" s="9">
        <v>0</v>
      </c>
      <c r="D23" s="343">
        <v>0</v>
      </c>
      <c r="E23" s="9">
        <f t="shared" si="5"/>
        <v>0</v>
      </c>
      <c r="F23" s="343">
        <f t="shared" si="5"/>
        <v>0</v>
      </c>
      <c r="G23" s="9">
        <v>0</v>
      </c>
      <c r="H23" s="343">
        <v>0</v>
      </c>
      <c r="I23" s="9">
        <f t="shared" si="6"/>
        <v>0</v>
      </c>
      <c r="J23" s="343">
        <f t="shared" si="6"/>
        <v>0</v>
      </c>
      <c r="K23" s="9">
        <v>0</v>
      </c>
    </row>
    <row r="24" spans="1:11" s="13" customFormat="1" ht="15" customHeight="1">
      <c r="A24" s="8">
        <v>13</v>
      </c>
      <c r="B24" s="18" t="s">
        <v>1029</v>
      </c>
      <c r="C24" s="9">
        <v>0</v>
      </c>
      <c r="D24" s="343">
        <v>0</v>
      </c>
      <c r="E24" s="9">
        <f t="shared" si="5"/>
        <v>0</v>
      </c>
      <c r="F24" s="343">
        <f t="shared" si="5"/>
        <v>0</v>
      </c>
      <c r="G24" s="9">
        <v>0</v>
      </c>
      <c r="H24" s="343">
        <v>0</v>
      </c>
      <c r="I24" s="9">
        <f t="shared" si="6"/>
        <v>0</v>
      </c>
      <c r="J24" s="343">
        <f t="shared" si="6"/>
        <v>0</v>
      </c>
      <c r="K24" s="9">
        <v>0</v>
      </c>
    </row>
    <row r="25" spans="1:11" s="13" customFormat="1" ht="15" customHeight="1">
      <c r="A25" s="8">
        <v>14</v>
      </c>
      <c r="B25" s="18" t="s">
        <v>842</v>
      </c>
      <c r="C25" s="9">
        <v>0</v>
      </c>
      <c r="D25" s="343">
        <v>0</v>
      </c>
      <c r="E25" s="9">
        <f t="shared" si="0"/>
        <v>0</v>
      </c>
      <c r="F25" s="343">
        <f t="shared" si="1"/>
        <v>0</v>
      </c>
      <c r="G25" s="9">
        <v>0</v>
      </c>
      <c r="H25" s="343">
        <v>0</v>
      </c>
      <c r="I25" s="9">
        <f t="shared" si="4"/>
        <v>0</v>
      </c>
      <c r="J25" s="343">
        <f t="shared" si="4"/>
        <v>0</v>
      </c>
      <c r="K25" s="9">
        <v>0</v>
      </c>
    </row>
    <row r="26" spans="1:11" s="13" customFormat="1" ht="12.75">
      <c r="A26" s="669" t="s">
        <v>16</v>
      </c>
      <c r="B26" s="670"/>
      <c r="C26" s="9">
        <f>SUM(C12:C25)</f>
        <v>5304</v>
      </c>
      <c r="D26" s="9">
        <f>SUM(D12:D25)</f>
        <v>7763.929999999999</v>
      </c>
      <c r="E26" s="9">
        <f>SUM(E12:E25)</f>
        <v>5565</v>
      </c>
      <c r="F26" s="9">
        <f>SUM(F12:F25)</f>
        <v>7763.929999999999</v>
      </c>
      <c r="G26" s="9">
        <v>0</v>
      </c>
      <c r="H26" s="343">
        <v>0</v>
      </c>
      <c r="I26" s="9">
        <f>SUM(I12:I25)</f>
        <v>0</v>
      </c>
      <c r="J26" s="343">
        <f>SUM(J12:J25)</f>
        <v>0</v>
      </c>
      <c r="K26" s="9">
        <v>562</v>
      </c>
    </row>
    <row r="27" s="13" customFormat="1" ht="12.75">
      <c r="A27" s="20"/>
    </row>
    <row r="28" spans="1:9" s="13" customFormat="1" ht="12.75">
      <c r="A28" s="20" t="s">
        <v>556</v>
      </c>
      <c r="B28" s="881" t="s">
        <v>658</v>
      </c>
      <c r="C28" s="881"/>
      <c r="D28" s="881"/>
      <c r="E28" s="881"/>
      <c r="F28" s="881"/>
      <c r="G28" s="881"/>
      <c r="H28" s="881"/>
      <c r="I28" s="881"/>
    </row>
    <row r="29" spans="1:9" s="13" customFormat="1" ht="12.75">
      <c r="A29" s="11"/>
      <c r="B29" s="28" t="s">
        <v>656</v>
      </c>
      <c r="C29" s="28"/>
      <c r="D29" s="28"/>
      <c r="E29" s="28"/>
      <c r="F29" s="28"/>
      <c r="G29" s="28"/>
      <c r="H29" s="28"/>
      <c r="I29" s="28"/>
    </row>
    <row r="30" spans="1:9" s="13" customFormat="1" ht="12.75">
      <c r="A30" s="11"/>
      <c r="B30" s="28" t="s">
        <v>657</v>
      </c>
      <c r="C30" s="28"/>
      <c r="D30" s="28"/>
      <c r="E30" s="28"/>
      <c r="F30" s="28"/>
      <c r="G30" s="28"/>
      <c r="H30" s="28"/>
      <c r="I30" s="28"/>
    </row>
    <row r="31" spans="1:9" s="13" customFormat="1" ht="12.75">
      <c r="A31" s="11"/>
      <c r="B31" s="880"/>
      <c r="C31" s="880"/>
      <c r="D31" s="880"/>
      <c r="E31" s="880"/>
      <c r="F31" s="880"/>
      <c r="G31" s="880"/>
      <c r="H31" s="880"/>
      <c r="I31" s="880"/>
    </row>
    <row r="32" s="13" customFormat="1" ht="12.75">
      <c r="A32" s="11"/>
    </row>
    <row r="33" spans="2:16" s="16" customFormat="1" ht="13.5" customHeight="1">
      <c r="B33" s="86"/>
      <c r="C33" s="86"/>
      <c r="D33" s="86"/>
      <c r="E33" s="86"/>
      <c r="F33" s="86"/>
      <c r="G33" s="86"/>
      <c r="H33" s="86"/>
      <c r="I33" s="699"/>
      <c r="J33" s="699"/>
      <c r="K33" s="86"/>
      <c r="L33" s="86"/>
      <c r="M33" s="86"/>
      <c r="N33" s="86"/>
      <c r="O33" s="86"/>
      <c r="P33" s="86"/>
    </row>
    <row r="34" spans="2:16" s="16" customFormat="1" ht="12.75" customHeight="1">
      <c r="B34" s="86"/>
      <c r="C34" s="86"/>
      <c r="D34" s="86"/>
      <c r="E34" s="86"/>
      <c r="F34" s="86"/>
      <c r="G34" s="86"/>
      <c r="H34" s="86"/>
      <c r="I34" s="699" t="s">
        <v>1062</v>
      </c>
      <c r="J34" s="699"/>
      <c r="K34" s="699"/>
      <c r="L34" s="86"/>
      <c r="M34" s="86"/>
      <c r="N34" s="86"/>
      <c r="O34" s="86"/>
      <c r="P34" s="86"/>
    </row>
    <row r="35" spans="2:16" s="16" customFormat="1" ht="12.75" customHeight="1">
      <c r="B35" s="86"/>
      <c r="C35" s="86"/>
      <c r="D35" s="86"/>
      <c r="E35" s="86"/>
      <c r="F35" s="86"/>
      <c r="G35" s="86"/>
      <c r="H35" s="86"/>
      <c r="I35" s="699" t="s">
        <v>485</v>
      </c>
      <c r="J35" s="699"/>
      <c r="K35" s="699"/>
      <c r="L35" s="86"/>
      <c r="M35" s="86"/>
      <c r="N35" s="86"/>
      <c r="O35" s="86"/>
      <c r="P35" s="86"/>
    </row>
    <row r="36" spans="1:9" s="16" customFormat="1" ht="12.75">
      <c r="A36" s="15" t="s">
        <v>19</v>
      </c>
      <c r="B36" s="15"/>
      <c r="C36" s="15"/>
      <c r="D36" s="15"/>
      <c r="E36" s="15"/>
      <c r="F36" s="15"/>
      <c r="H36" s="676" t="s">
        <v>491</v>
      </c>
      <c r="I36" s="676"/>
    </row>
    <row r="37" s="16" customFormat="1" ht="12.75">
      <c r="A37" s="15"/>
    </row>
    <row r="38" spans="1:10" ht="12.75">
      <c r="A38" s="765"/>
      <c r="B38" s="765"/>
      <c r="C38" s="765"/>
      <c r="D38" s="765"/>
      <c r="E38" s="765"/>
      <c r="F38" s="765"/>
      <c r="G38" s="765"/>
      <c r="H38" s="765"/>
      <c r="I38" s="765"/>
      <c r="J38" s="765"/>
    </row>
  </sheetData>
  <sheetProtection/>
  <mergeCells count="24">
    <mergeCell ref="I1:K1"/>
    <mergeCell ref="C8:J8"/>
    <mergeCell ref="C9:D9"/>
    <mergeCell ref="E9:F9"/>
    <mergeCell ref="G9:H9"/>
    <mergeCell ref="I9:J9"/>
    <mergeCell ref="D1:E1"/>
    <mergeCell ref="A2:J2"/>
    <mergeCell ref="A3:J3"/>
    <mergeCell ref="A5:K5"/>
    <mergeCell ref="A7:B7"/>
    <mergeCell ref="K9:K10"/>
    <mergeCell ref="A9:A10"/>
    <mergeCell ref="B9:B10"/>
    <mergeCell ref="E7:H7"/>
    <mergeCell ref="I7:K7"/>
    <mergeCell ref="H36:I36"/>
    <mergeCell ref="A38:J38"/>
    <mergeCell ref="A26:B26"/>
    <mergeCell ref="B31:I31"/>
    <mergeCell ref="B28:I28"/>
    <mergeCell ref="I34:K34"/>
    <mergeCell ref="I35:K35"/>
    <mergeCell ref="I33:J33"/>
  </mergeCells>
  <printOptions horizontalCentered="1"/>
  <pageMargins left="0.42" right="0.15" top="1.21" bottom="0" header="0.82" footer="0.31496062992125984"/>
  <pageSetup fitToHeight="1" fitToWidth="1" horizontalDpi="600" verticalDpi="600" orientation="landscape" paperSize="9" scale="9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view="pageBreakPreview" zoomScaleSheetLayoutView="100" zoomScalePageLayoutView="0" workbookViewId="0" topLeftCell="A4">
      <selection activeCell="I26" sqref="I26:K26"/>
    </sheetView>
  </sheetViews>
  <sheetFormatPr defaultColWidth="9.140625" defaultRowHeight="12.75"/>
  <cols>
    <col min="1" max="1" width="5.00390625" style="0" customWidth="1"/>
    <col min="2" max="2" width="10.57421875" style="0" customWidth="1"/>
    <col min="3" max="3" width="16.28125" style="0" customWidth="1"/>
    <col min="4" max="4" width="15.8515625" style="0" customWidth="1"/>
    <col min="5" max="5" width="11.57421875" style="0" customWidth="1"/>
    <col min="6" max="6" width="15.00390625" style="0" customWidth="1"/>
    <col min="7" max="7" width="9.7109375" style="0" customWidth="1"/>
    <col min="8" max="8" width="15.140625" style="0" customWidth="1"/>
    <col min="9" max="9" width="16.57421875" style="0" customWidth="1"/>
    <col min="10" max="10" width="18.28125" style="0" customWidth="1"/>
    <col min="11" max="11" width="14.140625" style="0" customWidth="1"/>
  </cols>
  <sheetData>
    <row r="1" spans="4:11" ht="15">
      <c r="D1" s="676"/>
      <c r="E1" s="676"/>
      <c r="H1" s="44"/>
      <c r="J1" s="833" t="s">
        <v>384</v>
      </c>
      <c r="K1" s="833"/>
    </row>
    <row r="2" spans="1:10" ht="15">
      <c r="A2" s="772" t="s">
        <v>0</v>
      </c>
      <c r="B2" s="772"/>
      <c r="C2" s="772"/>
      <c r="D2" s="772"/>
      <c r="E2" s="772"/>
      <c r="F2" s="772"/>
      <c r="G2" s="772"/>
      <c r="H2" s="772"/>
      <c r="I2" s="772"/>
      <c r="J2" s="772"/>
    </row>
    <row r="3" spans="1:10" ht="20.25">
      <c r="A3" s="701" t="s">
        <v>878</v>
      </c>
      <c r="B3" s="701"/>
      <c r="C3" s="701"/>
      <c r="D3" s="701"/>
      <c r="E3" s="701"/>
      <c r="F3" s="701"/>
      <c r="G3" s="701"/>
      <c r="H3" s="701"/>
      <c r="I3" s="701"/>
      <c r="J3" s="701"/>
    </row>
    <row r="4" ht="10.5" customHeight="1"/>
    <row r="5" spans="1:11" s="16" customFormat="1" ht="18.75" customHeight="1">
      <c r="A5" s="883" t="s">
        <v>437</v>
      </c>
      <c r="B5" s="883"/>
      <c r="C5" s="883"/>
      <c r="D5" s="883"/>
      <c r="E5" s="883"/>
      <c r="F5" s="883"/>
      <c r="G5" s="883"/>
      <c r="H5" s="883"/>
      <c r="I5" s="883"/>
      <c r="J5" s="883"/>
      <c r="K5" s="883"/>
    </row>
    <row r="6" spans="1:10" s="16" customFormat="1" ht="15.75" customHeight="1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1" s="16" customFormat="1" ht="12.75">
      <c r="A7" s="668" t="s">
        <v>472</v>
      </c>
      <c r="B7" s="668"/>
      <c r="E7" s="882"/>
      <c r="F7" s="882"/>
      <c r="G7" s="882"/>
      <c r="H7" s="882"/>
      <c r="I7" s="882" t="s">
        <v>938</v>
      </c>
      <c r="J7" s="882"/>
      <c r="K7" s="882"/>
    </row>
    <row r="8" spans="3:10" s="14" customFormat="1" ht="15.75" hidden="1">
      <c r="C8" s="772" t="s">
        <v>13</v>
      </c>
      <c r="D8" s="772"/>
      <c r="E8" s="772"/>
      <c r="F8" s="772"/>
      <c r="G8" s="772"/>
      <c r="H8" s="772"/>
      <c r="I8" s="772"/>
      <c r="J8" s="772"/>
    </row>
    <row r="9" spans="1:19" s="270" customFormat="1" ht="46.5" customHeight="1">
      <c r="A9" s="708" t="s">
        <v>21</v>
      </c>
      <c r="B9" s="708" t="s">
        <v>34</v>
      </c>
      <c r="C9" s="664" t="s">
        <v>913</v>
      </c>
      <c r="D9" s="665"/>
      <c r="E9" s="664" t="s">
        <v>35</v>
      </c>
      <c r="F9" s="665"/>
      <c r="G9" s="664" t="s">
        <v>36</v>
      </c>
      <c r="H9" s="665"/>
      <c r="I9" s="674" t="s">
        <v>101</v>
      </c>
      <c r="J9" s="674"/>
      <c r="K9" s="708" t="s">
        <v>236</v>
      </c>
      <c r="R9" s="271"/>
      <c r="S9" s="272"/>
    </row>
    <row r="10" spans="1:11" s="282" customFormat="1" ht="38.25">
      <c r="A10" s="710"/>
      <c r="B10" s="710"/>
      <c r="C10" s="257" t="s">
        <v>37</v>
      </c>
      <c r="D10" s="257" t="s">
        <v>752</v>
      </c>
      <c r="E10" s="257" t="s">
        <v>37</v>
      </c>
      <c r="F10" s="257" t="s">
        <v>753</v>
      </c>
      <c r="G10" s="257" t="s">
        <v>37</v>
      </c>
      <c r="H10" s="257" t="s">
        <v>753</v>
      </c>
      <c r="I10" s="257" t="s">
        <v>133</v>
      </c>
      <c r="J10" s="257" t="s">
        <v>754</v>
      </c>
      <c r="K10" s="710"/>
    </row>
    <row r="11" spans="1:11" ht="12.75">
      <c r="A11" s="139">
        <v>1</v>
      </c>
      <c r="B11" s="139">
        <v>2</v>
      </c>
      <c r="C11" s="139">
        <v>3</v>
      </c>
      <c r="D11" s="139">
        <v>4</v>
      </c>
      <c r="E11" s="139">
        <v>5</v>
      </c>
      <c r="F11" s="139">
        <v>6</v>
      </c>
      <c r="G11" s="139">
        <v>7</v>
      </c>
      <c r="H11" s="139">
        <v>8</v>
      </c>
      <c r="I11" s="139">
        <v>9</v>
      </c>
      <c r="J11" s="139">
        <v>10</v>
      </c>
      <c r="K11" s="3">
        <v>11</v>
      </c>
    </row>
    <row r="12" spans="1:13" ht="12.75">
      <c r="A12" s="8">
        <v>1</v>
      </c>
      <c r="B12" s="19" t="s">
        <v>473</v>
      </c>
      <c r="C12" s="9">
        <v>737</v>
      </c>
      <c r="D12" s="343">
        <v>1078.44</v>
      </c>
      <c r="E12" s="9">
        <v>773</v>
      </c>
      <c r="F12" s="343">
        <f>1068.52+9.92</f>
        <v>1078.44</v>
      </c>
      <c r="G12" s="9">
        <v>0</v>
      </c>
      <c r="H12" s="343">
        <v>0</v>
      </c>
      <c r="I12" s="9">
        <v>0</v>
      </c>
      <c r="J12" s="343">
        <f>D12-(F12+H12)</f>
        <v>0</v>
      </c>
      <c r="K12" s="9">
        <v>88</v>
      </c>
      <c r="L12" s="434"/>
      <c r="M12" s="344"/>
    </row>
    <row r="13" spans="1:13" ht="12.75">
      <c r="A13" s="8">
        <v>2</v>
      </c>
      <c r="B13" s="19" t="s">
        <v>474</v>
      </c>
      <c r="C13" s="9">
        <v>708</v>
      </c>
      <c r="D13" s="343">
        <v>1036.59</v>
      </c>
      <c r="E13" s="9">
        <f>715+28</f>
        <v>743</v>
      </c>
      <c r="F13" s="343">
        <f>988.34+48.25</f>
        <v>1036.5900000000001</v>
      </c>
      <c r="G13" s="9">
        <v>0</v>
      </c>
      <c r="H13" s="343">
        <v>0</v>
      </c>
      <c r="I13" s="9">
        <v>0</v>
      </c>
      <c r="J13" s="343">
        <f aca="true" t="shared" si="0" ref="J13:J19">D13-(F13+H13)</f>
        <v>0</v>
      </c>
      <c r="K13" s="9">
        <v>29</v>
      </c>
      <c r="L13" s="434"/>
      <c r="M13" s="344"/>
    </row>
    <row r="14" spans="1:13" ht="12.75">
      <c r="A14" s="8">
        <v>3</v>
      </c>
      <c r="B14" s="19" t="s">
        <v>475</v>
      </c>
      <c r="C14" s="9">
        <v>545</v>
      </c>
      <c r="D14" s="343">
        <v>798.02</v>
      </c>
      <c r="E14" s="9">
        <f>556+16</f>
        <v>572</v>
      </c>
      <c r="F14" s="343">
        <f>768.56+29.46</f>
        <v>798.02</v>
      </c>
      <c r="G14" s="9">
        <v>0</v>
      </c>
      <c r="H14" s="343">
        <v>0</v>
      </c>
      <c r="I14" s="9">
        <v>0</v>
      </c>
      <c r="J14" s="343">
        <f t="shared" si="0"/>
        <v>0</v>
      </c>
      <c r="K14" s="9">
        <v>54</v>
      </c>
      <c r="L14" s="434"/>
      <c r="M14" s="344"/>
    </row>
    <row r="15" spans="1:13" ht="12.75">
      <c r="A15" s="8">
        <v>4</v>
      </c>
      <c r="B15" s="19" t="s">
        <v>476</v>
      </c>
      <c r="C15" s="9">
        <v>633</v>
      </c>
      <c r="D15" s="343">
        <v>926.37</v>
      </c>
      <c r="E15" s="9">
        <f>646+18</f>
        <v>664</v>
      </c>
      <c r="F15" s="343">
        <f>892.96+33.41</f>
        <v>926.37</v>
      </c>
      <c r="G15" s="9">
        <v>0</v>
      </c>
      <c r="H15" s="343">
        <v>0</v>
      </c>
      <c r="I15" s="9">
        <v>0</v>
      </c>
      <c r="J15" s="343">
        <f t="shared" si="0"/>
        <v>0</v>
      </c>
      <c r="K15" s="9">
        <v>105</v>
      </c>
      <c r="L15" s="435"/>
      <c r="M15" s="344"/>
    </row>
    <row r="16" spans="1:13" ht="12.75">
      <c r="A16" s="8">
        <v>5</v>
      </c>
      <c r="B16" s="19" t="s">
        <v>477</v>
      </c>
      <c r="C16" s="9">
        <v>785</v>
      </c>
      <c r="D16" s="343">
        <v>1149.59</v>
      </c>
      <c r="E16" s="9">
        <f>796+28</f>
        <v>824</v>
      </c>
      <c r="F16" s="343">
        <f>1100.31+49.28</f>
        <v>1149.59</v>
      </c>
      <c r="G16" s="9">
        <v>0</v>
      </c>
      <c r="H16" s="343">
        <v>0</v>
      </c>
      <c r="I16" s="9">
        <v>0</v>
      </c>
      <c r="J16" s="343">
        <f t="shared" si="0"/>
        <v>0</v>
      </c>
      <c r="K16" s="9">
        <v>91</v>
      </c>
      <c r="L16" s="435"/>
      <c r="M16" s="344"/>
    </row>
    <row r="17" spans="1:13" ht="12.75">
      <c r="A17" s="8">
        <v>6</v>
      </c>
      <c r="B17" s="19" t="s">
        <v>478</v>
      </c>
      <c r="C17" s="9">
        <v>396</v>
      </c>
      <c r="D17" s="343">
        <v>578.98</v>
      </c>
      <c r="E17" s="9">
        <f>397+18</f>
        <v>415</v>
      </c>
      <c r="F17" s="343">
        <f>548.77+30.21</f>
        <v>578.98</v>
      </c>
      <c r="G17" s="9">
        <v>0</v>
      </c>
      <c r="H17" s="343">
        <v>0</v>
      </c>
      <c r="I17" s="9">
        <v>0</v>
      </c>
      <c r="J17" s="343">
        <f t="shared" si="0"/>
        <v>0</v>
      </c>
      <c r="K17" s="9">
        <v>0</v>
      </c>
      <c r="L17" s="435"/>
      <c r="M17" s="344"/>
    </row>
    <row r="18" spans="1:13" ht="12.75">
      <c r="A18" s="8">
        <v>7</v>
      </c>
      <c r="B18" s="19" t="s">
        <v>479</v>
      </c>
      <c r="C18" s="9">
        <v>561</v>
      </c>
      <c r="D18" s="343">
        <v>821.73</v>
      </c>
      <c r="E18" s="9">
        <f>573+16</f>
        <v>589</v>
      </c>
      <c r="F18" s="343">
        <f>792.06+29.67</f>
        <v>821.7299999999999</v>
      </c>
      <c r="G18" s="9">
        <v>0</v>
      </c>
      <c r="H18" s="343">
        <v>0</v>
      </c>
      <c r="I18" s="9">
        <v>0</v>
      </c>
      <c r="J18" s="343">
        <f t="shared" si="0"/>
        <v>0</v>
      </c>
      <c r="K18" s="9">
        <v>43</v>
      </c>
      <c r="L18" s="435"/>
      <c r="M18" s="344"/>
    </row>
    <row r="19" spans="1:13" s="13" customFormat="1" ht="12.75">
      <c r="A19" s="8">
        <v>8</v>
      </c>
      <c r="B19" s="19" t="s">
        <v>480</v>
      </c>
      <c r="C19" s="9">
        <v>939</v>
      </c>
      <c r="D19" s="343">
        <v>1374.21</v>
      </c>
      <c r="E19" s="9">
        <f>949+36</f>
        <v>985</v>
      </c>
      <c r="F19" s="343">
        <f>1311.8+62.41</f>
        <v>1374.21</v>
      </c>
      <c r="G19" s="9">
        <v>0</v>
      </c>
      <c r="H19" s="343">
        <v>0</v>
      </c>
      <c r="I19" s="9">
        <v>0</v>
      </c>
      <c r="J19" s="343">
        <f t="shared" si="0"/>
        <v>0</v>
      </c>
      <c r="K19" s="9">
        <v>152</v>
      </c>
      <c r="L19" s="435"/>
      <c r="M19" s="344"/>
    </row>
    <row r="20" spans="1:13" s="13" customFormat="1" ht="12.75">
      <c r="A20" s="3"/>
      <c r="B20" s="27" t="s">
        <v>481</v>
      </c>
      <c r="C20" s="27">
        <f>SUM(C12:C19)</f>
        <v>5304</v>
      </c>
      <c r="D20" s="369">
        <f aca="true" t="shared" si="1" ref="D20:K20">SUM(D12:D19)</f>
        <v>7763.929999999999</v>
      </c>
      <c r="E20" s="27">
        <f t="shared" si="1"/>
        <v>5565</v>
      </c>
      <c r="F20" s="27">
        <f t="shared" si="1"/>
        <v>7763.929999999999</v>
      </c>
      <c r="G20" s="27">
        <f t="shared" si="1"/>
        <v>0</v>
      </c>
      <c r="H20" s="369">
        <f t="shared" si="1"/>
        <v>0</v>
      </c>
      <c r="I20" s="27">
        <f t="shared" si="1"/>
        <v>0</v>
      </c>
      <c r="J20" s="369">
        <f t="shared" si="1"/>
        <v>0</v>
      </c>
      <c r="K20" s="27">
        <f t="shared" si="1"/>
        <v>562</v>
      </c>
      <c r="L20" s="436"/>
      <c r="M20" s="436"/>
    </row>
    <row r="21" s="13" customFormat="1" ht="12.75">
      <c r="A21" s="11" t="s">
        <v>38</v>
      </c>
    </row>
    <row r="22" s="13" customFormat="1" ht="12.75">
      <c r="A22" s="11"/>
    </row>
    <row r="23" spans="1:4" s="13" customFormat="1" ht="12.75">
      <c r="A23" s="11"/>
      <c r="D23" s="21" t="s">
        <v>11</v>
      </c>
    </row>
    <row r="24" spans="2:16" s="16" customFormat="1" ht="13.5" customHeight="1">
      <c r="B24" s="86"/>
      <c r="C24" s="86"/>
      <c r="D24" s="86"/>
      <c r="E24" s="86"/>
      <c r="F24" s="86"/>
      <c r="G24" s="86"/>
      <c r="H24" s="86"/>
      <c r="I24" s="699"/>
      <c r="J24" s="699"/>
      <c r="K24" s="86"/>
      <c r="L24" s="86"/>
      <c r="M24" s="86"/>
      <c r="N24" s="86"/>
      <c r="O24" s="86"/>
      <c r="P24" s="86"/>
    </row>
    <row r="25" spans="2:16" s="16" customFormat="1" ht="12.75" customHeight="1">
      <c r="B25" s="86"/>
      <c r="C25" s="86"/>
      <c r="D25" s="86"/>
      <c r="E25" s="86"/>
      <c r="F25" s="86"/>
      <c r="G25" s="86"/>
      <c r="H25" s="86"/>
      <c r="I25" s="699" t="s">
        <v>1062</v>
      </c>
      <c r="J25" s="699"/>
      <c r="K25" s="699"/>
      <c r="L25" s="86"/>
      <c r="M25" s="86"/>
      <c r="N25" s="86"/>
      <c r="O25" s="86"/>
      <c r="P25" s="86"/>
    </row>
    <row r="26" spans="2:16" s="16" customFormat="1" ht="12.75" customHeight="1">
      <c r="B26" s="86"/>
      <c r="C26" s="86"/>
      <c r="D26" s="86"/>
      <c r="E26" s="86"/>
      <c r="F26" s="86"/>
      <c r="G26" s="86"/>
      <c r="H26" s="86"/>
      <c r="I26" s="699" t="s">
        <v>485</v>
      </c>
      <c r="J26" s="699"/>
      <c r="K26" s="699"/>
      <c r="L26" s="86"/>
      <c r="M26" s="86"/>
      <c r="N26" s="86"/>
      <c r="O26" s="86"/>
      <c r="P26" s="86"/>
    </row>
    <row r="27" spans="1:9" s="16" customFormat="1" ht="12.75">
      <c r="A27" s="15" t="s">
        <v>19</v>
      </c>
      <c r="B27" s="15"/>
      <c r="C27" s="15"/>
      <c r="D27" s="15"/>
      <c r="E27" s="15"/>
      <c r="F27" s="15"/>
      <c r="H27" s="676" t="s">
        <v>544</v>
      </c>
      <c r="I27" s="676"/>
    </row>
    <row r="28" s="16" customFormat="1" ht="12.75">
      <c r="A28" s="15"/>
    </row>
    <row r="29" spans="1:10" ht="12.75">
      <c r="A29" s="765"/>
      <c r="B29" s="765"/>
      <c r="C29" s="765"/>
      <c r="D29" s="765"/>
      <c r="E29" s="765"/>
      <c r="F29" s="765"/>
      <c r="G29" s="765"/>
      <c r="H29" s="765"/>
      <c r="I29" s="765"/>
      <c r="J29" s="765"/>
    </row>
    <row r="30" spans="4:6" ht="12.75">
      <c r="D30" s="344"/>
      <c r="F30" s="344"/>
    </row>
    <row r="31" spans="4:6" ht="12.75">
      <c r="D31" s="344"/>
      <c r="F31" s="344"/>
    </row>
    <row r="32" spans="4:6" ht="12.75">
      <c r="D32" s="344"/>
      <c r="F32" s="344"/>
    </row>
    <row r="33" spans="4:6" ht="12.75">
      <c r="D33" s="344"/>
      <c r="F33" s="344"/>
    </row>
    <row r="34" spans="4:6" ht="12.75">
      <c r="D34" s="344"/>
      <c r="F34" s="344"/>
    </row>
    <row r="35" spans="4:6" ht="12.75">
      <c r="D35" s="344"/>
      <c r="F35" s="344"/>
    </row>
    <row r="36" spans="4:6" ht="12.75">
      <c r="D36" s="344"/>
      <c r="F36" s="344"/>
    </row>
    <row r="37" spans="4:6" ht="12.75">
      <c r="D37" s="344"/>
      <c r="F37" s="344"/>
    </row>
    <row r="38" spans="4:6" ht="12.75">
      <c r="D38" s="344"/>
      <c r="E38" s="344"/>
      <c r="F38" s="344"/>
    </row>
  </sheetData>
  <sheetProtection/>
  <mergeCells count="21">
    <mergeCell ref="E7:H7"/>
    <mergeCell ref="D1:E1"/>
    <mergeCell ref="A5:K5"/>
    <mergeCell ref="I7:K7"/>
    <mergeCell ref="K9:K10"/>
    <mergeCell ref="J1:K1"/>
    <mergeCell ref="A9:A10"/>
    <mergeCell ref="B9:B10"/>
    <mergeCell ref="A3:J3"/>
    <mergeCell ref="G9:H9"/>
    <mergeCell ref="A7:B7"/>
    <mergeCell ref="I26:K26"/>
    <mergeCell ref="A2:J2"/>
    <mergeCell ref="C8:J8"/>
    <mergeCell ref="A29:J29"/>
    <mergeCell ref="E9:F9"/>
    <mergeCell ref="C9:D9"/>
    <mergeCell ref="H27:I27"/>
    <mergeCell ref="I9:J9"/>
    <mergeCell ref="I24:J24"/>
    <mergeCell ref="I25:K25"/>
  </mergeCells>
  <printOptions horizontalCentered="1"/>
  <pageMargins left="0.48" right="0.19" top="1.27" bottom="0" header="0.9" footer="0.31496062992125984"/>
  <pageSetup fitToHeight="1" fitToWidth="1" horizontalDpi="600" verticalDpi="600" orientation="landscape" paperSize="9" scale="96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view="pageBreakPreview" zoomScaleSheetLayoutView="100" zoomScalePageLayoutView="0" workbookViewId="0" topLeftCell="B1">
      <selection activeCell="E20" sqref="E20"/>
    </sheetView>
  </sheetViews>
  <sheetFormatPr defaultColWidth="9.140625" defaultRowHeight="12.75"/>
  <cols>
    <col min="1" max="1" width="5.140625" style="0" customWidth="1"/>
    <col min="2" max="2" width="14.28125" style="0" customWidth="1"/>
    <col min="3" max="3" width="14.140625" style="0" customWidth="1"/>
    <col min="4" max="4" width="14.00390625" style="0" customWidth="1"/>
    <col min="5" max="5" width="9.28125" style="0" customWidth="1"/>
    <col min="6" max="6" width="13.57421875" style="0" customWidth="1"/>
    <col min="7" max="7" width="9.7109375" style="0" customWidth="1"/>
    <col min="8" max="8" width="12.28125" style="0" customWidth="1"/>
    <col min="9" max="9" width="18.140625" style="0" customWidth="1"/>
    <col min="10" max="10" width="18.28125" style="0" customWidth="1"/>
    <col min="11" max="11" width="15.00390625" style="0" customWidth="1"/>
  </cols>
  <sheetData>
    <row r="1" spans="4:11" ht="15">
      <c r="D1" s="676"/>
      <c r="E1" s="676"/>
      <c r="H1" s="44"/>
      <c r="J1" s="833" t="s">
        <v>65</v>
      </c>
      <c r="K1" s="833"/>
    </row>
    <row r="2" spans="1:10" ht="15">
      <c r="A2" s="772" t="s">
        <v>0</v>
      </c>
      <c r="B2" s="772"/>
      <c r="C2" s="772"/>
      <c r="D2" s="772"/>
      <c r="E2" s="772"/>
      <c r="F2" s="772"/>
      <c r="G2" s="772"/>
      <c r="H2" s="772"/>
      <c r="I2" s="772"/>
      <c r="J2" s="772"/>
    </row>
    <row r="3" spans="1:10" ht="18">
      <c r="A3" s="797" t="s">
        <v>878</v>
      </c>
      <c r="B3" s="797"/>
      <c r="C3" s="797"/>
      <c r="D3" s="797"/>
      <c r="E3" s="797"/>
      <c r="F3" s="797"/>
      <c r="G3" s="797"/>
      <c r="H3" s="797"/>
      <c r="I3" s="797"/>
      <c r="J3" s="797"/>
    </row>
    <row r="4" ht="10.5" customHeight="1"/>
    <row r="5" spans="1:12" s="16" customFormat="1" ht="15.75" customHeight="1">
      <c r="A5" s="884" t="s">
        <v>438</v>
      </c>
      <c r="B5" s="884"/>
      <c r="C5" s="884"/>
      <c r="D5" s="884"/>
      <c r="E5" s="884"/>
      <c r="F5" s="884"/>
      <c r="G5" s="884"/>
      <c r="H5" s="884"/>
      <c r="I5" s="884"/>
      <c r="J5" s="884"/>
      <c r="K5" s="884"/>
      <c r="L5" s="884"/>
    </row>
    <row r="6" spans="1:10" s="16" customFormat="1" ht="15.75" customHeight="1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1" s="16" customFormat="1" ht="12.75">
      <c r="A7" s="668" t="s">
        <v>472</v>
      </c>
      <c r="B7" s="668"/>
      <c r="I7" s="882" t="s">
        <v>939</v>
      </c>
      <c r="J7" s="882"/>
      <c r="K7" s="882"/>
    </row>
    <row r="8" spans="3:10" s="14" customFormat="1" ht="15.75" hidden="1">
      <c r="C8" s="772" t="s">
        <v>13</v>
      </c>
      <c r="D8" s="772"/>
      <c r="E8" s="772"/>
      <c r="F8" s="772"/>
      <c r="G8" s="772"/>
      <c r="H8" s="772"/>
      <c r="I8" s="772"/>
      <c r="J8" s="772"/>
    </row>
    <row r="9" spans="1:19" s="270" customFormat="1" ht="41.25" customHeight="1">
      <c r="A9" s="708" t="s">
        <v>21</v>
      </c>
      <c r="B9" s="708" t="s">
        <v>34</v>
      </c>
      <c r="C9" s="664" t="s">
        <v>914</v>
      </c>
      <c r="D9" s="665"/>
      <c r="E9" s="664" t="s">
        <v>683</v>
      </c>
      <c r="F9" s="665"/>
      <c r="G9" s="664" t="s">
        <v>36</v>
      </c>
      <c r="H9" s="665"/>
      <c r="I9" s="674" t="s">
        <v>101</v>
      </c>
      <c r="J9" s="674"/>
      <c r="K9" s="708" t="s">
        <v>237</v>
      </c>
      <c r="R9" s="271"/>
      <c r="S9" s="272"/>
    </row>
    <row r="10" spans="1:14" s="282" customFormat="1" ht="48.75" customHeight="1">
      <c r="A10" s="710"/>
      <c r="B10" s="710"/>
      <c r="C10" s="257" t="s">
        <v>37</v>
      </c>
      <c r="D10" s="257" t="s">
        <v>554</v>
      </c>
      <c r="E10" s="257" t="s">
        <v>37</v>
      </c>
      <c r="F10" s="257" t="s">
        <v>499</v>
      </c>
      <c r="G10" s="257" t="s">
        <v>37</v>
      </c>
      <c r="H10" s="257" t="s">
        <v>100</v>
      </c>
      <c r="I10" s="257" t="s">
        <v>133</v>
      </c>
      <c r="J10" s="257" t="s">
        <v>684</v>
      </c>
      <c r="K10" s="710"/>
      <c r="M10" s="282">
        <f>C20+'AT12A_KD-Replacement'!C20</f>
        <v>14124</v>
      </c>
      <c r="N10" s="651">
        <f>D20+'AT12A_KD-Replacement'!D20</f>
        <v>959.9499999999999</v>
      </c>
    </row>
    <row r="11" spans="1:16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M11" s="13"/>
      <c r="N11" s="13"/>
      <c r="O11" s="13"/>
      <c r="P11" s="13"/>
    </row>
    <row r="12" spans="1:16" ht="15" customHeight="1">
      <c r="A12" s="8">
        <v>1</v>
      </c>
      <c r="B12" s="19" t="s">
        <v>473</v>
      </c>
      <c r="C12" s="9">
        <v>946</v>
      </c>
      <c r="D12" s="343">
        <v>47.9</v>
      </c>
      <c r="E12" s="9">
        <v>941</v>
      </c>
      <c r="F12" s="343">
        <v>47.05</v>
      </c>
      <c r="G12" s="9">
        <v>0</v>
      </c>
      <c r="H12" s="9">
        <v>0</v>
      </c>
      <c r="I12" s="9">
        <f>C12-(E12+G12)</f>
        <v>5</v>
      </c>
      <c r="J12" s="343">
        <f>D12-(F12+H12)</f>
        <v>0.8500000000000014</v>
      </c>
      <c r="K12" s="9">
        <v>1</v>
      </c>
      <c r="L12" s="630"/>
      <c r="M12" s="13"/>
      <c r="N12" s="13"/>
      <c r="O12" s="13"/>
      <c r="P12" s="13"/>
    </row>
    <row r="13" spans="1:16" ht="15" customHeight="1">
      <c r="A13" s="8">
        <v>2</v>
      </c>
      <c r="B13" s="19" t="s">
        <v>474</v>
      </c>
      <c r="C13" s="9">
        <v>892</v>
      </c>
      <c r="D13" s="343">
        <v>45</v>
      </c>
      <c r="E13" s="9">
        <v>888</v>
      </c>
      <c r="F13" s="343">
        <v>44.4</v>
      </c>
      <c r="G13" s="9">
        <v>0</v>
      </c>
      <c r="H13" s="9">
        <v>0</v>
      </c>
      <c r="I13" s="9">
        <f aca="true" t="shared" si="0" ref="I13:I19">C13-(E13+G13)</f>
        <v>4</v>
      </c>
      <c r="J13" s="343">
        <f aca="true" t="shared" si="1" ref="J13:J19">D13-(F13+H13)</f>
        <v>0.6000000000000014</v>
      </c>
      <c r="K13" s="9">
        <v>0</v>
      </c>
      <c r="L13" s="630"/>
      <c r="M13" s="13"/>
      <c r="N13" s="13"/>
      <c r="O13" s="13"/>
      <c r="P13" s="13"/>
    </row>
    <row r="14" spans="1:16" ht="15" customHeight="1">
      <c r="A14" s="8">
        <v>3</v>
      </c>
      <c r="B14" s="19" t="s">
        <v>475</v>
      </c>
      <c r="C14" s="9">
        <v>683</v>
      </c>
      <c r="D14" s="343">
        <v>34.3</v>
      </c>
      <c r="E14" s="9">
        <v>681</v>
      </c>
      <c r="F14" s="343">
        <v>34.05</v>
      </c>
      <c r="G14" s="9">
        <v>0</v>
      </c>
      <c r="H14" s="9">
        <v>0</v>
      </c>
      <c r="I14" s="9">
        <f t="shared" si="0"/>
        <v>2</v>
      </c>
      <c r="J14" s="343">
        <f t="shared" si="1"/>
        <v>0.25</v>
      </c>
      <c r="K14" s="9">
        <v>0</v>
      </c>
      <c r="L14" s="630"/>
      <c r="M14" s="13"/>
      <c r="N14" s="13"/>
      <c r="O14" s="13"/>
      <c r="P14" s="13"/>
    </row>
    <row r="15" spans="1:16" ht="15" customHeight="1">
      <c r="A15" s="8">
        <v>4</v>
      </c>
      <c r="B15" s="19" t="s">
        <v>476</v>
      </c>
      <c r="C15" s="9">
        <v>824</v>
      </c>
      <c r="D15" s="343">
        <v>41.8</v>
      </c>
      <c r="E15" s="9">
        <v>819</v>
      </c>
      <c r="F15" s="343">
        <v>40.95</v>
      </c>
      <c r="G15" s="9">
        <v>0</v>
      </c>
      <c r="H15" s="9">
        <v>0</v>
      </c>
      <c r="I15" s="9">
        <f t="shared" si="0"/>
        <v>5</v>
      </c>
      <c r="J15" s="343">
        <f t="shared" si="1"/>
        <v>0.8499999999999943</v>
      </c>
      <c r="K15" s="9">
        <v>0</v>
      </c>
      <c r="L15" s="630"/>
      <c r="M15" s="13"/>
      <c r="N15" s="13"/>
      <c r="O15" s="13"/>
      <c r="P15" s="13"/>
    </row>
    <row r="16" spans="1:16" ht="15" customHeight="1">
      <c r="A16" s="8">
        <v>5</v>
      </c>
      <c r="B16" s="19" t="s">
        <v>477</v>
      </c>
      <c r="C16" s="9">
        <v>933</v>
      </c>
      <c r="D16" s="343">
        <v>46.95</v>
      </c>
      <c r="E16" s="9">
        <v>929</v>
      </c>
      <c r="F16" s="343">
        <v>46.45</v>
      </c>
      <c r="G16" s="9">
        <v>0</v>
      </c>
      <c r="H16" s="9">
        <v>0</v>
      </c>
      <c r="I16" s="9">
        <f t="shared" si="0"/>
        <v>4</v>
      </c>
      <c r="J16" s="343">
        <f t="shared" si="1"/>
        <v>0.5</v>
      </c>
      <c r="K16" s="9">
        <v>0</v>
      </c>
      <c r="L16" s="630"/>
      <c r="M16" s="13"/>
      <c r="N16" s="13"/>
      <c r="O16" s="13"/>
      <c r="P16" s="13"/>
    </row>
    <row r="17" spans="1:16" ht="15" customHeight="1">
      <c r="A17" s="8">
        <v>6</v>
      </c>
      <c r="B17" s="19" t="s">
        <v>478</v>
      </c>
      <c r="C17" s="9">
        <v>489</v>
      </c>
      <c r="D17" s="343">
        <v>24.75</v>
      </c>
      <c r="E17" s="9">
        <v>486</v>
      </c>
      <c r="F17" s="343">
        <v>24.3</v>
      </c>
      <c r="G17" s="9">
        <v>0</v>
      </c>
      <c r="H17" s="9">
        <v>0</v>
      </c>
      <c r="I17" s="9">
        <f t="shared" si="0"/>
        <v>3</v>
      </c>
      <c r="J17" s="343">
        <f t="shared" si="1"/>
        <v>0.4499999999999993</v>
      </c>
      <c r="K17" s="9">
        <v>0</v>
      </c>
      <c r="L17" s="630"/>
      <c r="M17" s="13"/>
      <c r="N17" s="13"/>
      <c r="O17" s="13"/>
      <c r="P17" s="13"/>
    </row>
    <row r="18" spans="1:16" ht="15" customHeight="1">
      <c r="A18" s="8">
        <v>7</v>
      </c>
      <c r="B18" s="19" t="s">
        <v>479</v>
      </c>
      <c r="C18" s="9">
        <v>722</v>
      </c>
      <c r="D18" s="343">
        <v>36.7</v>
      </c>
      <c r="E18" s="9">
        <v>717</v>
      </c>
      <c r="F18" s="343">
        <v>35.85</v>
      </c>
      <c r="G18" s="9">
        <v>0</v>
      </c>
      <c r="H18" s="9">
        <v>0</v>
      </c>
      <c r="I18" s="9">
        <f t="shared" si="0"/>
        <v>5</v>
      </c>
      <c r="J18" s="343">
        <f t="shared" si="1"/>
        <v>0.8500000000000014</v>
      </c>
      <c r="K18" s="9">
        <v>0</v>
      </c>
      <c r="L18" s="630"/>
      <c r="M18" s="13"/>
      <c r="N18" s="13"/>
      <c r="O18" s="13"/>
      <c r="P18" s="13"/>
    </row>
    <row r="19" spans="1:12" s="13" customFormat="1" ht="15" customHeight="1">
      <c r="A19" s="8">
        <v>8</v>
      </c>
      <c r="B19" s="19" t="s">
        <v>480</v>
      </c>
      <c r="C19" s="9">
        <v>1162</v>
      </c>
      <c r="D19" s="343">
        <v>58.4</v>
      </c>
      <c r="E19" s="9">
        <v>1158</v>
      </c>
      <c r="F19" s="343">
        <v>57.9</v>
      </c>
      <c r="G19" s="9">
        <v>0</v>
      </c>
      <c r="H19" s="9">
        <v>0</v>
      </c>
      <c r="I19" s="9">
        <f t="shared" si="0"/>
        <v>4</v>
      </c>
      <c r="J19" s="343">
        <f t="shared" si="1"/>
        <v>0.5</v>
      </c>
      <c r="K19" s="9">
        <v>0</v>
      </c>
      <c r="L19" s="630"/>
    </row>
    <row r="20" spans="1:15" s="13" customFormat="1" ht="12.75">
      <c r="A20" s="3"/>
      <c r="B20" s="27" t="s">
        <v>481</v>
      </c>
      <c r="C20" s="9">
        <f>SUM(C12:C19)</f>
        <v>6651</v>
      </c>
      <c r="D20" s="343">
        <f>SUM(D12:D19)</f>
        <v>335.79999999999995</v>
      </c>
      <c r="E20" s="9">
        <f>SUM(E12:E19)</f>
        <v>6619</v>
      </c>
      <c r="F20" s="9">
        <f aca="true" t="shared" si="2" ref="F20:K20">SUM(F12:F19)</f>
        <v>330.95</v>
      </c>
      <c r="G20" s="9">
        <f t="shared" si="2"/>
        <v>0</v>
      </c>
      <c r="H20" s="9">
        <f t="shared" si="2"/>
        <v>0</v>
      </c>
      <c r="I20" s="9">
        <f t="shared" si="2"/>
        <v>32</v>
      </c>
      <c r="J20" s="343">
        <f t="shared" si="2"/>
        <v>4.849999999999998</v>
      </c>
      <c r="K20" s="9">
        <f t="shared" si="2"/>
        <v>1</v>
      </c>
      <c r="L20" s="631">
        <f>C20+'AT12A_KD-Replacement'!C20</f>
        <v>14124</v>
      </c>
      <c r="M20" s="631">
        <f>I20+'AT12A_KD-Replacement'!I20</f>
        <v>2562</v>
      </c>
      <c r="N20" s="13">
        <f>L20-M20</f>
        <v>11562</v>
      </c>
      <c r="O20" s="13">
        <f>N20/L20</f>
        <v>0.8186066270178419</v>
      </c>
    </row>
    <row r="21" s="13" customFormat="1" ht="12" customHeight="1">
      <c r="N21" s="13">
        <f>M20/L20</f>
        <v>0.18139337298215802</v>
      </c>
    </row>
    <row r="22" spans="1:11" s="13" customFormat="1" ht="12.75">
      <c r="A22" s="11" t="s">
        <v>38</v>
      </c>
      <c r="K22" s="13" t="s">
        <v>11</v>
      </c>
    </row>
    <row r="23" s="13" customFormat="1" ht="12.75">
      <c r="A23" s="11"/>
    </row>
    <row r="24" spans="1:11" s="13" customFormat="1" ht="9.75" customHeight="1">
      <c r="A24" s="11"/>
      <c r="K24" s="21" t="s">
        <v>11</v>
      </c>
    </row>
    <row r="25" spans="2:16" s="16" customFormat="1" ht="13.5" customHeight="1">
      <c r="B25" s="86"/>
      <c r="C25" s="499"/>
      <c r="D25" s="86"/>
      <c r="E25" s="86"/>
      <c r="F25" s="86"/>
      <c r="G25" s="86"/>
      <c r="H25" s="86"/>
      <c r="I25" s="699"/>
      <c r="J25" s="699"/>
      <c r="K25" s="86"/>
      <c r="L25" s="86"/>
      <c r="M25" s="86"/>
      <c r="N25" s="86"/>
      <c r="O25" s="86"/>
      <c r="P25" s="86"/>
    </row>
    <row r="26" spans="2:16" s="16" customFormat="1" ht="12.75" customHeight="1">
      <c r="B26" s="86"/>
      <c r="C26" s="499"/>
      <c r="D26" s="86"/>
      <c r="E26" s="86"/>
      <c r="F26" s="86"/>
      <c r="G26" s="86"/>
      <c r="H26" s="86"/>
      <c r="I26" s="699" t="s">
        <v>1062</v>
      </c>
      <c r="J26" s="699"/>
      <c r="K26" s="699"/>
      <c r="L26" s="86"/>
      <c r="M26" s="86"/>
      <c r="N26" s="86"/>
      <c r="O26" s="86"/>
      <c r="P26" s="86"/>
    </row>
    <row r="27" spans="2:16" s="16" customFormat="1" ht="12.75" customHeight="1">
      <c r="B27" s="86"/>
      <c r="C27" s="499"/>
      <c r="D27" s="86"/>
      <c r="E27" s="86"/>
      <c r="F27" s="86"/>
      <c r="G27" s="86"/>
      <c r="H27" s="86"/>
      <c r="I27" s="699" t="s">
        <v>485</v>
      </c>
      <c r="J27" s="699"/>
      <c r="K27" s="699"/>
      <c r="L27" s="86"/>
      <c r="M27" s="86"/>
      <c r="N27" s="86"/>
      <c r="O27" s="86"/>
      <c r="P27" s="86"/>
    </row>
    <row r="28" spans="1:9" s="16" customFormat="1" ht="12.75">
      <c r="A28" s="15" t="s">
        <v>19</v>
      </c>
      <c r="B28" s="15"/>
      <c r="C28" s="499"/>
      <c r="D28" s="86"/>
      <c r="E28" s="15"/>
      <c r="F28" s="15"/>
      <c r="H28" s="676" t="s">
        <v>544</v>
      </c>
      <c r="I28" s="676"/>
    </row>
    <row r="29" spans="1:4" s="16" customFormat="1" ht="12.75">
      <c r="A29" s="15"/>
      <c r="C29" s="499"/>
      <c r="D29" s="86"/>
    </row>
    <row r="30" spans="1:10" ht="12.75">
      <c r="A30" s="493"/>
      <c r="B30" s="493"/>
      <c r="C30" s="499"/>
      <c r="D30" s="86"/>
      <c r="E30" s="493"/>
      <c r="F30" s="493"/>
      <c r="G30" s="493"/>
      <c r="H30" s="493"/>
      <c r="I30" s="493"/>
      <c r="J30" s="493"/>
    </row>
    <row r="31" spans="3:4" ht="12.75">
      <c r="C31" s="499"/>
      <c r="D31" s="86"/>
    </row>
    <row r="32" spans="3:4" ht="12.75">
      <c r="C32" s="499"/>
      <c r="D32" s="86"/>
    </row>
    <row r="33" ht="12.75">
      <c r="C33" s="499"/>
    </row>
    <row r="34" ht="12.75">
      <c r="C34" s="499"/>
    </row>
    <row r="35" ht="12.75">
      <c r="C35" s="499"/>
    </row>
    <row r="36" ht="12.75">
      <c r="C36" s="499"/>
    </row>
  </sheetData>
  <sheetProtection/>
  <mergeCells count="19">
    <mergeCell ref="D1:E1"/>
    <mergeCell ref="A2:J2"/>
    <mergeCell ref="A3:J3"/>
    <mergeCell ref="A7:B7"/>
    <mergeCell ref="C8:J8"/>
    <mergeCell ref="A9:A10"/>
    <mergeCell ref="B9:B10"/>
    <mergeCell ref="E9:F9"/>
    <mergeCell ref="C9:D9"/>
    <mergeCell ref="I25:J25"/>
    <mergeCell ref="H28:I28"/>
    <mergeCell ref="G9:H9"/>
    <mergeCell ref="I7:K7"/>
    <mergeCell ref="J1:K1"/>
    <mergeCell ref="I9:J9"/>
    <mergeCell ref="A5:L5"/>
    <mergeCell ref="K9:K10"/>
    <mergeCell ref="I26:K26"/>
    <mergeCell ref="I27:K27"/>
  </mergeCells>
  <printOptions horizontalCentered="1"/>
  <pageMargins left="0.7086614173228347" right="0.34" top="1.16" bottom="0" header="0.78" footer="0.31496062992125984"/>
  <pageSetup fitToHeight="1" fitToWidth="1" horizontalDpi="600" verticalDpi="600" orientation="landscape" paperSize="9" scale="96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view="pageBreakPreview" zoomScaleSheetLayoutView="100" zoomScalePageLayoutView="0" workbookViewId="0" topLeftCell="A1">
      <selection activeCell="E20" sqref="E20"/>
    </sheetView>
  </sheetViews>
  <sheetFormatPr defaultColWidth="9.140625" defaultRowHeight="12.75"/>
  <cols>
    <col min="1" max="1" width="5.421875" style="0" customWidth="1"/>
    <col min="2" max="2" width="15.8515625" style="0" customWidth="1"/>
    <col min="3" max="3" width="14.140625" style="0" customWidth="1"/>
    <col min="4" max="4" width="14.421875" style="0" customWidth="1"/>
    <col min="5" max="5" width="10.00390625" style="0" customWidth="1"/>
    <col min="6" max="6" width="13.57421875" style="0" customWidth="1"/>
    <col min="7" max="7" width="9.7109375" style="0" customWidth="1"/>
    <col min="8" max="8" width="11.57421875" style="0" customWidth="1"/>
    <col min="9" max="9" width="17.57421875" style="0" customWidth="1"/>
    <col min="10" max="10" width="19.28125" style="0" customWidth="1"/>
    <col min="11" max="11" width="15.00390625" style="0" customWidth="1"/>
    <col min="12" max="12" width="9.57421875" style="0" bestFit="1" customWidth="1"/>
  </cols>
  <sheetData>
    <row r="1" spans="4:11" ht="15">
      <c r="D1" s="676"/>
      <c r="E1" s="676"/>
      <c r="H1" s="44"/>
      <c r="J1" s="833" t="s">
        <v>536</v>
      </c>
      <c r="K1" s="833"/>
    </row>
    <row r="2" spans="1:11" ht="15">
      <c r="A2" s="772" t="s">
        <v>0</v>
      </c>
      <c r="B2" s="772"/>
      <c r="C2" s="772"/>
      <c r="D2" s="772"/>
      <c r="E2" s="772"/>
      <c r="F2" s="772"/>
      <c r="G2" s="772"/>
      <c r="H2" s="772"/>
      <c r="I2" s="772"/>
      <c r="J2" s="772"/>
      <c r="K2" s="772"/>
    </row>
    <row r="3" spans="1:11" ht="18">
      <c r="A3" s="797" t="s">
        <v>878</v>
      </c>
      <c r="B3" s="797"/>
      <c r="C3" s="797"/>
      <c r="D3" s="797"/>
      <c r="E3" s="797"/>
      <c r="F3" s="797"/>
      <c r="G3" s="797"/>
      <c r="H3" s="797"/>
      <c r="I3" s="797"/>
      <c r="J3" s="797"/>
      <c r="K3" s="797"/>
    </row>
    <row r="4" ht="10.5" customHeight="1"/>
    <row r="5" spans="1:12" s="16" customFormat="1" ht="15.75" customHeight="1">
      <c r="A5" s="886" t="s">
        <v>655</v>
      </c>
      <c r="B5" s="886"/>
      <c r="C5" s="886"/>
      <c r="D5" s="886"/>
      <c r="E5" s="886"/>
      <c r="F5" s="886"/>
      <c r="G5" s="886"/>
      <c r="H5" s="886"/>
      <c r="I5" s="886"/>
      <c r="J5" s="886"/>
      <c r="K5" s="886"/>
      <c r="L5" s="561"/>
    </row>
    <row r="6" spans="1:10" s="16" customFormat="1" ht="15.75" customHeight="1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1" s="16" customFormat="1" ht="12.75">
      <c r="A7" s="668" t="s">
        <v>472</v>
      </c>
      <c r="B7" s="668"/>
      <c r="I7" s="882" t="s">
        <v>939</v>
      </c>
      <c r="J7" s="882"/>
      <c r="K7" s="882"/>
    </row>
    <row r="8" spans="3:10" s="14" customFormat="1" ht="15.75" hidden="1">
      <c r="C8" s="772" t="s">
        <v>13</v>
      </c>
      <c r="D8" s="772"/>
      <c r="E8" s="772"/>
      <c r="F8" s="772"/>
      <c r="G8" s="772"/>
      <c r="H8" s="772"/>
      <c r="I8" s="772"/>
      <c r="J8" s="772"/>
    </row>
    <row r="9" spans="1:19" s="260" customFormat="1" ht="35.25" customHeight="1">
      <c r="A9" s="708" t="s">
        <v>21</v>
      </c>
      <c r="B9" s="708" t="s">
        <v>34</v>
      </c>
      <c r="C9" s="664" t="s">
        <v>915</v>
      </c>
      <c r="D9" s="665"/>
      <c r="E9" s="664" t="s">
        <v>683</v>
      </c>
      <c r="F9" s="665"/>
      <c r="G9" s="664" t="s">
        <v>36</v>
      </c>
      <c r="H9" s="665"/>
      <c r="I9" s="674" t="s">
        <v>101</v>
      </c>
      <c r="J9" s="674"/>
      <c r="K9" s="708" t="s">
        <v>237</v>
      </c>
      <c r="R9" s="268"/>
      <c r="S9" s="269"/>
    </row>
    <row r="10" spans="1:11" s="258" customFormat="1" ht="46.5" customHeight="1">
      <c r="A10" s="710"/>
      <c r="B10" s="710"/>
      <c r="C10" s="257" t="s">
        <v>37</v>
      </c>
      <c r="D10" s="257" t="s">
        <v>750</v>
      </c>
      <c r="E10" s="257" t="s">
        <v>37</v>
      </c>
      <c r="F10" s="257" t="s">
        <v>751</v>
      </c>
      <c r="G10" s="257" t="s">
        <v>37</v>
      </c>
      <c r="H10" s="257" t="s">
        <v>100</v>
      </c>
      <c r="I10" s="257" t="s">
        <v>133</v>
      </c>
      <c r="J10" s="257" t="s">
        <v>685</v>
      </c>
      <c r="K10" s="710"/>
    </row>
    <row r="11" spans="1:11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</row>
    <row r="12" spans="1:13" ht="16.5" customHeight="1">
      <c r="A12" s="8">
        <v>1</v>
      </c>
      <c r="B12" s="19" t="s">
        <v>473</v>
      </c>
      <c r="C12" s="9">
        <v>1127</v>
      </c>
      <c r="D12" s="343">
        <v>105.25</v>
      </c>
      <c r="E12" s="9">
        <v>710</v>
      </c>
      <c r="F12" s="343">
        <v>35.5</v>
      </c>
      <c r="G12" s="9">
        <v>0</v>
      </c>
      <c r="H12" s="9">
        <v>0</v>
      </c>
      <c r="I12" s="9">
        <f>C12-(E12+G12)</f>
        <v>417</v>
      </c>
      <c r="J12" s="343">
        <f>D12-(F12+H12)</f>
        <v>69.75</v>
      </c>
      <c r="K12" s="9">
        <v>0</v>
      </c>
      <c r="L12" s="347"/>
      <c r="M12" s="347"/>
    </row>
    <row r="13" spans="1:13" ht="16.5" customHeight="1">
      <c r="A13" s="8">
        <v>2</v>
      </c>
      <c r="B13" s="19" t="s">
        <v>474</v>
      </c>
      <c r="C13" s="9">
        <v>1004</v>
      </c>
      <c r="D13" s="343">
        <v>83.65</v>
      </c>
      <c r="E13" s="9">
        <v>661</v>
      </c>
      <c r="F13" s="343">
        <v>33.05</v>
      </c>
      <c r="G13" s="9">
        <v>0</v>
      </c>
      <c r="H13" s="9">
        <v>0</v>
      </c>
      <c r="I13" s="9">
        <f aca="true" t="shared" si="0" ref="I13:I19">C13-(E13+G13)</f>
        <v>343</v>
      </c>
      <c r="J13" s="343">
        <f aca="true" t="shared" si="1" ref="J13:J19">D13-(F13+H13)</f>
        <v>50.60000000000001</v>
      </c>
      <c r="K13" s="9">
        <v>0</v>
      </c>
      <c r="L13" s="347"/>
      <c r="M13" s="347"/>
    </row>
    <row r="14" spans="1:13" ht="16.5" customHeight="1">
      <c r="A14" s="8">
        <v>3</v>
      </c>
      <c r="B14" s="19" t="s">
        <v>475</v>
      </c>
      <c r="C14" s="9">
        <v>745</v>
      </c>
      <c r="D14" s="343">
        <v>58.15</v>
      </c>
      <c r="E14" s="9">
        <v>510</v>
      </c>
      <c r="F14" s="343">
        <v>25.5</v>
      </c>
      <c r="G14" s="9">
        <v>0</v>
      </c>
      <c r="H14" s="9">
        <v>0</v>
      </c>
      <c r="I14" s="9">
        <f t="shared" si="0"/>
        <v>235</v>
      </c>
      <c r="J14" s="343">
        <f t="shared" si="1"/>
        <v>32.65</v>
      </c>
      <c r="K14" s="9">
        <v>0</v>
      </c>
      <c r="L14" s="347"/>
      <c r="M14" s="347"/>
    </row>
    <row r="15" spans="1:13" ht="16.5" customHeight="1">
      <c r="A15" s="8">
        <v>4</v>
      </c>
      <c r="B15" s="19" t="s">
        <v>476</v>
      </c>
      <c r="C15" s="9">
        <v>909</v>
      </c>
      <c r="D15" s="343">
        <v>73.9</v>
      </c>
      <c r="E15" s="9">
        <v>609</v>
      </c>
      <c r="F15" s="343">
        <v>30.45</v>
      </c>
      <c r="G15" s="9">
        <v>0</v>
      </c>
      <c r="H15" s="9">
        <v>0</v>
      </c>
      <c r="I15" s="9">
        <f t="shared" si="0"/>
        <v>300</v>
      </c>
      <c r="J15" s="343">
        <f t="shared" si="1"/>
        <v>43.45</v>
      </c>
      <c r="K15" s="9">
        <v>0</v>
      </c>
      <c r="L15" s="347"/>
      <c r="M15" s="347"/>
    </row>
    <row r="16" spans="1:13" ht="16.5" customHeight="1">
      <c r="A16" s="8">
        <v>5</v>
      </c>
      <c r="B16" s="19" t="s">
        <v>477</v>
      </c>
      <c r="C16" s="9">
        <v>1028</v>
      </c>
      <c r="D16" s="343">
        <v>82</v>
      </c>
      <c r="E16" s="9">
        <v>693</v>
      </c>
      <c r="F16" s="343">
        <v>34.65</v>
      </c>
      <c r="G16" s="9">
        <v>0</v>
      </c>
      <c r="H16" s="9">
        <v>0</v>
      </c>
      <c r="I16" s="9">
        <f t="shared" si="0"/>
        <v>335</v>
      </c>
      <c r="J16" s="343">
        <f t="shared" si="1"/>
        <v>47.35</v>
      </c>
      <c r="K16" s="9">
        <v>0</v>
      </c>
      <c r="L16" s="347"/>
      <c r="M16" s="347"/>
    </row>
    <row r="17" spans="1:13" ht="16.5" customHeight="1">
      <c r="A17" s="8">
        <v>6</v>
      </c>
      <c r="B17" s="19" t="s">
        <v>478</v>
      </c>
      <c r="C17" s="9">
        <v>572</v>
      </c>
      <c r="D17" s="343">
        <v>51.35</v>
      </c>
      <c r="E17" s="9">
        <v>361</v>
      </c>
      <c r="F17" s="343">
        <v>18.05</v>
      </c>
      <c r="G17" s="9">
        <v>0</v>
      </c>
      <c r="H17" s="9">
        <v>0</v>
      </c>
      <c r="I17" s="9">
        <f t="shared" si="0"/>
        <v>211</v>
      </c>
      <c r="J17" s="343">
        <f t="shared" si="1"/>
        <v>33.3</v>
      </c>
      <c r="K17" s="9">
        <v>0</v>
      </c>
      <c r="L17" s="347"/>
      <c r="M17" s="347"/>
    </row>
    <row r="18" spans="1:13" ht="16.5" customHeight="1">
      <c r="A18" s="8">
        <v>7</v>
      </c>
      <c r="B18" s="19" t="s">
        <v>479</v>
      </c>
      <c r="C18" s="9">
        <v>851</v>
      </c>
      <c r="D18" s="343">
        <v>77.05</v>
      </c>
      <c r="E18" s="9">
        <v>535</v>
      </c>
      <c r="F18" s="343">
        <v>26.75</v>
      </c>
      <c r="G18" s="9">
        <v>0</v>
      </c>
      <c r="H18" s="9">
        <v>0</v>
      </c>
      <c r="I18" s="9">
        <f t="shared" si="0"/>
        <v>316</v>
      </c>
      <c r="J18" s="343">
        <f t="shared" si="1"/>
        <v>50.3</v>
      </c>
      <c r="K18" s="9">
        <v>0</v>
      </c>
      <c r="L18" s="347"/>
      <c r="M18" s="347"/>
    </row>
    <row r="19" spans="1:13" s="13" customFormat="1" ht="16.5" customHeight="1">
      <c r="A19" s="8">
        <v>8</v>
      </c>
      <c r="B19" s="19" t="s">
        <v>480</v>
      </c>
      <c r="C19" s="9">
        <v>1237</v>
      </c>
      <c r="D19" s="343">
        <v>92.8</v>
      </c>
      <c r="E19" s="9">
        <v>864</v>
      </c>
      <c r="F19" s="343">
        <v>43.2</v>
      </c>
      <c r="G19" s="9">
        <v>0</v>
      </c>
      <c r="H19" s="9">
        <v>0</v>
      </c>
      <c r="I19" s="9">
        <f t="shared" si="0"/>
        <v>373</v>
      </c>
      <c r="J19" s="343">
        <f t="shared" si="1"/>
        <v>49.599999999999994</v>
      </c>
      <c r="K19" s="9">
        <v>0</v>
      </c>
      <c r="L19" s="347"/>
      <c r="M19" s="347"/>
    </row>
    <row r="20" spans="1:12" s="13" customFormat="1" ht="16.5" customHeight="1">
      <c r="A20" s="3"/>
      <c r="B20" s="27" t="s">
        <v>481</v>
      </c>
      <c r="C20" s="9">
        <f>SUM(C12:C19)</f>
        <v>7473</v>
      </c>
      <c r="D20" s="343">
        <f aca="true" t="shared" si="2" ref="D20:K20">SUM(D12:D19)</f>
        <v>624.15</v>
      </c>
      <c r="E20" s="9">
        <f t="shared" si="2"/>
        <v>4943</v>
      </c>
      <c r="F20" s="343">
        <f t="shared" si="2"/>
        <v>247.15000000000003</v>
      </c>
      <c r="G20" s="9">
        <f t="shared" si="2"/>
        <v>0</v>
      </c>
      <c r="H20" s="9">
        <f t="shared" si="2"/>
        <v>0</v>
      </c>
      <c r="I20" s="9">
        <f t="shared" si="2"/>
        <v>2530</v>
      </c>
      <c r="J20" s="343">
        <f t="shared" si="2"/>
        <v>377</v>
      </c>
      <c r="K20" s="9">
        <f t="shared" si="2"/>
        <v>0</v>
      </c>
      <c r="L20" s="347" t="s">
        <v>11</v>
      </c>
    </row>
    <row r="21" spans="3:14" s="13" customFormat="1" ht="12.75">
      <c r="C21" s="437"/>
      <c r="K21" s="21" t="s">
        <v>11</v>
      </c>
      <c r="M21" s="465"/>
      <c r="N21" s="632"/>
    </row>
    <row r="22" s="13" customFormat="1" ht="12.75" customHeight="1">
      <c r="A22" s="11" t="s">
        <v>38</v>
      </c>
    </row>
    <row r="23" spans="3:6" ht="19.5" customHeight="1">
      <c r="C23" s="885"/>
      <c r="D23" s="885"/>
      <c r="E23" s="885"/>
      <c r="F23" s="885"/>
    </row>
    <row r="24" spans="2:16" s="16" customFormat="1" ht="13.5" customHeight="1">
      <c r="B24" s="86"/>
      <c r="C24" s="499"/>
      <c r="D24" s="86"/>
      <c r="E24" s="86"/>
      <c r="F24" s="86"/>
      <c r="G24" s="86"/>
      <c r="H24" s="86"/>
      <c r="I24" s="699"/>
      <c r="J24" s="699"/>
      <c r="K24" s="86"/>
      <c r="L24" s="86"/>
      <c r="M24" s="86"/>
      <c r="N24" s="86"/>
      <c r="O24" s="86"/>
      <c r="P24" s="86"/>
    </row>
    <row r="25" spans="2:16" s="16" customFormat="1" ht="12.75" customHeight="1">
      <c r="B25" s="86"/>
      <c r="C25" s="499"/>
      <c r="D25" s="86"/>
      <c r="E25" s="86"/>
      <c r="F25" s="86"/>
      <c r="G25" s="86"/>
      <c r="H25" s="86"/>
      <c r="I25" s="699" t="s">
        <v>1062</v>
      </c>
      <c r="J25" s="699"/>
      <c r="K25" s="699"/>
      <c r="L25" s="86"/>
      <c r="M25" s="86"/>
      <c r="N25" s="86"/>
      <c r="O25" s="86"/>
      <c r="P25" s="86"/>
    </row>
    <row r="26" spans="2:16" s="16" customFormat="1" ht="12.75" customHeight="1">
      <c r="B26" s="86"/>
      <c r="C26" s="499"/>
      <c r="D26" s="86"/>
      <c r="E26" s="86"/>
      <c r="F26" s="86"/>
      <c r="G26" s="86"/>
      <c r="H26" s="86"/>
      <c r="I26" s="699" t="s">
        <v>485</v>
      </c>
      <c r="J26" s="699"/>
      <c r="K26" s="699"/>
      <c r="L26" s="86"/>
      <c r="M26" s="86"/>
      <c r="N26" s="86"/>
      <c r="O26" s="86"/>
      <c r="P26" s="86"/>
    </row>
    <row r="27" spans="1:9" s="16" customFormat="1" ht="12.75">
      <c r="A27" s="15" t="s">
        <v>19</v>
      </c>
      <c r="B27" s="15"/>
      <c r="C27" s="499"/>
      <c r="D27" s="86"/>
      <c r="E27" s="15"/>
      <c r="F27" s="15"/>
      <c r="H27" s="676" t="s">
        <v>544</v>
      </c>
      <c r="I27" s="676"/>
    </row>
    <row r="28" spans="1:4" s="16" customFormat="1" ht="12.75">
      <c r="A28" s="15"/>
      <c r="C28" s="499"/>
      <c r="D28" s="86"/>
    </row>
    <row r="29" spans="1:10" ht="12.75">
      <c r="A29" s="493"/>
      <c r="B29" s="493"/>
      <c r="C29" s="499"/>
      <c r="D29" s="86"/>
      <c r="E29" s="493"/>
      <c r="F29" s="493"/>
      <c r="G29" s="493"/>
      <c r="H29" s="493"/>
      <c r="I29" s="493"/>
      <c r="J29" s="493"/>
    </row>
    <row r="30" spans="3:4" ht="12.75">
      <c r="C30" s="499"/>
      <c r="D30" s="86"/>
    </row>
    <row r="31" spans="2:7" ht="12.75">
      <c r="B31" s="346"/>
      <c r="C31" s="499"/>
      <c r="D31" s="86"/>
      <c r="G31" s="345"/>
    </row>
    <row r="32" spans="3:10" ht="12.75">
      <c r="C32" s="86"/>
      <c r="D32" s="86"/>
      <c r="J32" s="347"/>
    </row>
    <row r="33" spans="3:10" ht="12.75">
      <c r="C33" s="86"/>
      <c r="J33" s="347"/>
    </row>
    <row r="34" spans="3:10" ht="12.75">
      <c r="C34" s="86"/>
      <c r="J34" s="347"/>
    </row>
    <row r="35" ht="12.75">
      <c r="J35" s="347"/>
    </row>
    <row r="36" ht="12.75">
      <c r="J36" s="347"/>
    </row>
    <row r="37" ht="12.75">
      <c r="J37" s="347"/>
    </row>
    <row r="38" ht="12.75">
      <c r="J38" s="347"/>
    </row>
    <row r="39" ht="12.75">
      <c r="J39" s="347"/>
    </row>
  </sheetData>
  <sheetProtection/>
  <mergeCells count="20">
    <mergeCell ref="A7:B7"/>
    <mergeCell ref="I7:K7"/>
    <mergeCell ref="D1:E1"/>
    <mergeCell ref="J1:K1"/>
    <mergeCell ref="A2:K2"/>
    <mergeCell ref="A3:K3"/>
    <mergeCell ref="A5:K5"/>
    <mergeCell ref="C8:J8"/>
    <mergeCell ref="A9:A10"/>
    <mergeCell ref="B9:B10"/>
    <mergeCell ref="C9:D9"/>
    <mergeCell ref="E9:F9"/>
    <mergeCell ref="G9:H9"/>
    <mergeCell ref="I9:J9"/>
    <mergeCell ref="K9:K10"/>
    <mergeCell ref="C23:F23"/>
    <mergeCell ref="I24:J24"/>
    <mergeCell ref="H27:I27"/>
    <mergeCell ref="I25:K25"/>
    <mergeCell ref="I26:K26"/>
  </mergeCells>
  <printOptions horizontalCentered="1"/>
  <pageMargins left="0.7086614173228347" right="0.28" top="1.19" bottom="0" header="0.9" footer="0.31496062992125984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view="pageBreakPreview" zoomScale="90" zoomScaleSheetLayoutView="90" zoomScalePageLayoutView="0" workbookViewId="0" topLeftCell="A19">
      <selection activeCell="A9" sqref="A9"/>
    </sheetView>
  </sheetViews>
  <sheetFormatPr defaultColWidth="9.140625" defaultRowHeight="12.75"/>
  <cols>
    <col min="1" max="1" width="9.28125" style="15" customWidth="1"/>
    <col min="2" max="5" width="8.57421875" style="15" customWidth="1"/>
    <col min="6" max="6" width="9.57421875" style="15" customWidth="1"/>
    <col min="7" max="7" width="8.57421875" style="15" customWidth="1"/>
    <col min="8" max="8" width="11.7109375" style="15" customWidth="1"/>
    <col min="9" max="15" width="8.57421875" style="15" customWidth="1"/>
    <col min="16" max="16" width="8.421875" style="15" customWidth="1"/>
    <col min="17" max="19" width="8.57421875" style="15" customWidth="1"/>
    <col min="20" max="16384" width="9.140625" style="15" customWidth="1"/>
  </cols>
  <sheetData>
    <row r="1" spans="1:19" ht="12.75">
      <c r="A1" s="15" t="s">
        <v>11</v>
      </c>
      <c r="H1" s="676"/>
      <c r="I1" s="676"/>
      <c r="R1" s="675" t="s">
        <v>52</v>
      </c>
      <c r="S1" s="675"/>
    </row>
    <row r="2" spans="1:20" s="14" customFormat="1" ht="15.75">
      <c r="A2" s="700" t="s">
        <v>0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0"/>
      <c r="O2" s="700"/>
      <c r="P2" s="700"/>
      <c r="Q2" s="700"/>
      <c r="R2" s="700"/>
      <c r="S2" s="700"/>
      <c r="T2" s="700"/>
    </row>
    <row r="3" spans="1:20" s="14" customFormat="1" ht="20.25" customHeight="1">
      <c r="A3" s="701" t="s">
        <v>878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01"/>
      <c r="S3" s="701"/>
      <c r="T3" s="701"/>
    </row>
    <row r="5" spans="1:20" s="14" customFormat="1" ht="15.75">
      <c r="A5" s="702" t="s">
        <v>880</v>
      </c>
      <c r="B5" s="702"/>
      <c r="C5" s="702"/>
      <c r="D5" s="702"/>
      <c r="E5" s="702"/>
      <c r="F5" s="702"/>
      <c r="G5" s="702"/>
      <c r="H5" s="702"/>
      <c r="I5" s="702"/>
      <c r="J5" s="702"/>
      <c r="K5" s="702"/>
      <c r="L5" s="702"/>
      <c r="M5" s="702"/>
      <c r="N5" s="702"/>
      <c r="O5" s="702"/>
      <c r="P5" s="702"/>
      <c r="Q5" s="702"/>
      <c r="R5" s="702"/>
      <c r="S5" s="702"/>
      <c r="T5" s="702"/>
    </row>
    <row r="6" spans="1:2" ht="12.75">
      <c r="A6" s="668" t="s">
        <v>472</v>
      </c>
      <c r="B6" s="668"/>
    </row>
    <row r="7" spans="1:19" ht="12.75">
      <c r="A7" s="668" t="s">
        <v>627</v>
      </c>
      <c r="B7" s="668"/>
      <c r="C7" s="668"/>
      <c r="D7" s="668"/>
      <c r="E7" s="668"/>
      <c r="F7" s="668"/>
      <c r="G7" s="668"/>
      <c r="H7" s="668"/>
      <c r="I7" s="668"/>
      <c r="R7" s="28"/>
      <c r="S7" s="28"/>
    </row>
    <row r="9" spans="1:12" ht="18" customHeight="1">
      <c r="A9" s="5"/>
      <c r="B9" s="674" t="s">
        <v>40</v>
      </c>
      <c r="C9" s="674"/>
      <c r="D9" s="674" t="s">
        <v>41</v>
      </c>
      <c r="E9" s="674"/>
      <c r="F9" s="674" t="s">
        <v>42</v>
      </c>
      <c r="G9" s="674"/>
      <c r="H9" s="677" t="s">
        <v>43</v>
      </c>
      <c r="I9" s="677"/>
      <c r="J9" s="674" t="s">
        <v>44</v>
      </c>
      <c r="K9" s="674"/>
      <c r="L9" s="476" t="s">
        <v>16</v>
      </c>
    </row>
    <row r="10" spans="1:12" s="71" customFormat="1" ht="13.5" customHeight="1">
      <c r="A10" s="73">
        <v>1</v>
      </c>
      <c r="B10" s="663">
        <v>2</v>
      </c>
      <c r="C10" s="663"/>
      <c r="D10" s="663">
        <v>3</v>
      </c>
      <c r="E10" s="663"/>
      <c r="F10" s="663">
        <v>4</v>
      </c>
      <c r="G10" s="663"/>
      <c r="H10" s="663">
        <v>5</v>
      </c>
      <c r="I10" s="663"/>
      <c r="J10" s="663">
        <v>6</v>
      </c>
      <c r="K10" s="663"/>
      <c r="L10" s="73">
        <v>7</v>
      </c>
    </row>
    <row r="11" spans="1:12" ht="12.75">
      <c r="A11" s="3" t="s">
        <v>45</v>
      </c>
      <c r="B11" s="662">
        <v>109</v>
      </c>
      <c r="C11" s="662"/>
      <c r="D11" s="662">
        <v>427</v>
      </c>
      <c r="E11" s="662"/>
      <c r="F11" s="662">
        <v>73</v>
      </c>
      <c r="G11" s="662"/>
      <c r="H11" s="662">
        <v>66</v>
      </c>
      <c r="I11" s="662"/>
      <c r="J11" s="662">
        <v>46</v>
      </c>
      <c r="K11" s="662"/>
      <c r="L11" s="18">
        <f>SUM(B11:K11)</f>
        <v>721</v>
      </c>
    </row>
    <row r="12" spans="1:12" ht="12.75">
      <c r="A12" s="3" t="s">
        <v>46</v>
      </c>
      <c r="B12" s="662">
        <v>2151</v>
      </c>
      <c r="C12" s="662"/>
      <c r="D12" s="662">
        <v>4016</v>
      </c>
      <c r="E12" s="662"/>
      <c r="F12" s="662">
        <v>2274</v>
      </c>
      <c r="G12" s="662"/>
      <c r="H12" s="662">
        <v>663</v>
      </c>
      <c r="I12" s="662"/>
      <c r="J12" s="662">
        <v>1186</v>
      </c>
      <c r="K12" s="662"/>
      <c r="L12" s="18">
        <f>SUM(B12:K12)</f>
        <v>10290</v>
      </c>
    </row>
    <row r="13" spans="1:12" ht="12.75">
      <c r="A13" s="3" t="s">
        <v>16</v>
      </c>
      <c r="B13" s="673">
        <f>SUM(B11:B12)</f>
        <v>2260</v>
      </c>
      <c r="C13" s="673"/>
      <c r="D13" s="673">
        <f>SUM(D11:D12)</f>
        <v>4443</v>
      </c>
      <c r="E13" s="673"/>
      <c r="F13" s="673">
        <f>SUM(F11:F12)</f>
        <v>2347</v>
      </c>
      <c r="G13" s="673"/>
      <c r="H13" s="673">
        <f>SUM(H11:H12)</f>
        <v>729</v>
      </c>
      <c r="I13" s="673"/>
      <c r="J13" s="673">
        <f>SUM(J11:J12)</f>
        <v>1232</v>
      </c>
      <c r="K13" s="673"/>
      <c r="L13" s="3">
        <f>SUM(L11:L12)</f>
        <v>11011</v>
      </c>
    </row>
    <row r="14" spans="1:12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2.75">
      <c r="A15" s="703" t="s">
        <v>429</v>
      </c>
      <c r="B15" s="703"/>
      <c r="C15" s="703"/>
      <c r="D15" s="703"/>
      <c r="E15" s="703"/>
      <c r="F15" s="703"/>
      <c r="G15" s="703"/>
      <c r="H15" s="12"/>
      <c r="I15" s="12"/>
      <c r="J15" s="12"/>
      <c r="K15" s="12"/>
      <c r="L15" s="12"/>
    </row>
    <row r="16" spans="1:12" ht="12.75" customHeight="1">
      <c r="A16" s="705" t="s">
        <v>174</v>
      </c>
      <c r="B16" s="706"/>
      <c r="C16" s="704" t="s">
        <v>198</v>
      </c>
      <c r="D16" s="704"/>
      <c r="E16" s="3" t="s">
        <v>16</v>
      </c>
      <c r="I16" s="12"/>
      <c r="J16" s="12"/>
      <c r="K16" s="12"/>
      <c r="L16" s="12"/>
    </row>
    <row r="17" spans="1:12" ht="12.75">
      <c r="A17" s="669">
        <v>900</v>
      </c>
      <c r="B17" s="670"/>
      <c r="C17" s="669">
        <v>600</v>
      </c>
      <c r="D17" s="670"/>
      <c r="E17" s="3">
        <f>SUM(A17:D17)</f>
        <v>1500</v>
      </c>
      <c r="I17" s="12"/>
      <c r="J17" s="12"/>
      <c r="K17" s="12"/>
      <c r="L17" s="12"/>
    </row>
    <row r="18" spans="1:12" ht="12.75">
      <c r="A18" s="230"/>
      <c r="B18" s="230"/>
      <c r="C18" s="230"/>
      <c r="D18" s="230"/>
      <c r="E18" s="230"/>
      <c r="F18" s="230"/>
      <c r="G18" s="230"/>
      <c r="H18" s="12"/>
      <c r="I18" s="12"/>
      <c r="J18" s="12"/>
      <c r="K18" s="12"/>
      <c r="L18" s="12"/>
    </row>
    <row r="19" spans="1:19" ht="18.75" customHeight="1">
      <c r="A19" s="678" t="s">
        <v>626</v>
      </c>
      <c r="B19" s="678"/>
      <c r="C19" s="678"/>
      <c r="D19" s="678"/>
      <c r="E19" s="678"/>
      <c r="F19" s="678"/>
      <c r="G19" s="678"/>
      <c r="H19" s="678"/>
      <c r="I19" s="678"/>
      <c r="J19" s="678"/>
      <c r="K19" s="678"/>
      <c r="L19" s="678"/>
      <c r="M19" s="678"/>
      <c r="N19" s="678"/>
      <c r="O19" s="678"/>
      <c r="P19" s="678"/>
      <c r="Q19" s="678"/>
      <c r="R19" s="678"/>
      <c r="S19" s="678"/>
    </row>
    <row r="20" spans="1:20" s="258" customFormat="1" ht="12.75">
      <c r="A20" s="674" t="s">
        <v>21</v>
      </c>
      <c r="B20" s="674" t="s">
        <v>47</v>
      </c>
      <c r="C20" s="674"/>
      <c r="D20" s="674"/>
      <c r="E20" s="677" t="s">
        <v>22</v>
      </c>
      <c r="F20" s="677"/>
      <c r="G20" s="677"/>
      <c r="H20" s="677"/>
      <c r="I20" s="677"/>
      <c r="J20" s="677"/>
      <c r="K20" s="677"/>
      <c r="L20" s="677"/>
      <c r="M20" s="677" t="s">
        <v>23</v>
      </c>
      <c r="N20" s="677"/>
      <c r="O20" s="677"/>
      <c r="P20" s="677"/>
      <c r="Q20" s="677"/>
      <c r="R20" s="677"/>
      <c r="S20" s="677"/>
      <c r="T20" s="677"/>
    </row>
    <row r="21" spans="1:20" s="258" customFormat="1" ht="33.75" customHeight="1">
      <c r="A21" s="674"/>
      <c r="B21" s="674"/>
      <c r="C21" s="674"/>
      <c r="D21" s="674"/>
      <c r="E21" s="664" t="s">
        <v>130</v>
      </c>
      <c r="F21" s="665"/>
      <c r="G21" s="664" t="s">
        <v>168</v>
      </c>
      <c r="H21" s="665"/>
      <c r="I21" s="674" t="s">
        <v>48</v>
      </c>
      <c r="J21" s="674"/>
      <c r="K21" s="664" t="s">
        <v>90</v>
      </c>
      <c r="L21" s="665"/>
      <c r="M21" s="664" t="s">
        <v>91</v>
      </c>
      <c r="N21" s="665"/>
      <c r="O21" s="664" t="s">
        <v>168</v>
      </c>
      <c r="P21" s="665"/>
      <c r="Q21" s="674" t="s">
        <v>48</v>
      </c>
      <c r="R21" s="674"/>
      <c r="S21" s="674" t="s">
        <v>90</v>
      </c>
      <c r="T21" s="674"/>
    </row>
    <row r="22" spans="1:20" s="71" customFormat="1" ht="12.75" customHeight="1">
      <c r="A22" s="73">
        <v>1</v>
      </c>
      <c r="B22" s="666">
        <v>2</v>
      </c>
      <c r="C22" s="679"/>
      <c r="D22" s="667"/>
      <c r="E22" s="666">
        <v>3</v>
      </c>
      <c r="F22" s="667"/>
      <c r="G22" s="666">
        <v>4</v>
      </c>
      <c r="H22" s="667"/>
      <c r="I22" s="663">
        <v>5</v>
      </c>
      <c r="J22" s="663"/>
      <c r="K22" s="663">
        <v>6</v>
      </c>
      <c r="L22" s="663"/>
      <c r="M22" s="666">
        <v>3</v>
      </c>
      <c r="N22" s="667"/>
      <c r="O22" s="666">
        <v>4</v>
      </c>
      <c r="P22" s="667"/>
      <c r="Q22" s="663">
        <v>5</v>
      </c>
      <c r="R22" s="663"/>
      <c r="S22" s="663">
        <v>6</v>
      </c>
      <c r="T22" s="663"/>
    </row>
    <row r="23" spans="1:20" ht="12.75">
      <c r="A23" s="70">
        <v>1</v>
      </c>
      <c r="B23" s="680" t="s">
        <v>811</v>
      </c>
      <c r="C23" s="681"/>
      <c r="D23" s="682"/>
      <c r="E23" s="659" t="s">
        <v>502</v>
      </c>
      <c r="F23" s="660"/>
      <c r="G23" s="669" t="s">
        <v>352</v>
      </c>
      <c r="H23" s="670"/>
      <c r="I23" s="661">
        <v>340</v>
      </c>
      <c r="J23" s="661"/>
      <c r="K23" s="661">
        <v>8</v>
      </c>
      <c r="L23" s="661"/>
      <c r="M23" s="659" t="s">
        <v>504</v>
      </c>
      <c r="N23" s="660"/>
      <c r="O23" s="669" t="s">
        <v>352</v>
      </c>
      <c r="P23" s="670"/>
      <c r="Q23" s="661">
        <v>510</v>
      </c>
      <c r="R23" s="661"/>
      <c r="S23" s="661">
        <v>12</v>
      </c>
      <c r="T23" s="661"/>
    </row>
    <row r="24" spans="1:20" ht="12.75">
      <c r="A24" s="70">
        <v>2</v>
      </c>
      <c r="B24" s="656" t="s">
        <v>812</v>
      </c>
      <c r="C24" s="657"/>
      <c r="D24" s="658"/>
      <c r="E24" s="659" t="s">
        <v>7</v>
      </c>
      <c r="F24" s="660"/>
      <c r="G24" s="654">
        <v>4.25</v>
      </c>
      <c r="H24" s="655"/>
      <c r="I24" s="661">
        <v>104</v>
      </c>
      <c r="J24" s="661"/>
      <c r="K24" s="661">
        <v>8</v>
      </c>
      <c r="L24" s="661"/>
      <c r="M24" s="659" t="s">
        <v>7</v>
      </c>
      <c r="N24" s="660"/>
      <c r="O24" s="654">
        <v>4.25</v>
      </c>
      <c r="P24" s="655"/>
      <c r="Q24" s="661">
        <v>104</v>
      </c>
      <c r="R24" s="661"/>
      <c r="S24" s="661">
        <v>8</v>
      </c>
      <c r="T24" s="661"/>
    </row>
    <row r="25" spans="1:20" ht="12.75">
      <c r="A25" s="70">
        <v>3</v>
      </c>
      <c r="B25" s="656" t="s">
        <v>169</v>
      </c>
      <c r="C25" s="657"/>
      <c r="D25" s="658"/>
      <c r="E25" s="659" t="s">
        <v>813</v>
      </c>
      <c r="F25" s="660"/>
      <c r="G25" s="654">
        <v>0.14</v>
      </c>
      <c r="H25" s="655"/>
      <c r="I25" s="661">
        <v>25</v>
      </c>
      <c r="J25" s="661"/>
      <c r="K25" s="661">
        <v>6.27</v>
      </c>
      <c r="L25" s="661"/>
      <c r="M25" s="659" t="s">
        <v>553</v>
      </c>
      <c r="N25" s="660"/>
      <c r="O25" s="654">
        <v>2.46</v>
      </c>
      <c r="P25" s="655"/>
      <c r="Q25" s="661">
        <v>41</v>
      </c>
      <c r="R25" s="661"/>
      <c r="S25" s="661">
        <v>6.27</v>
      </c>
      <c r="T25" s="661"/>
    </row>
    <row r="26" spans="1:20" ht="12.75">
      <c r="A26" s="70">
        <v>4</v>
      </c>
      <c r="B26" s="656" t="s">
        <v>49</v>
      </c>
      <c r="C26" s="657"/>
      <c r="D26" s="658"/>
      <c r="E26" s="659" t="s">
        <v>922</v>
      </c>
      <c r="F26" s="660"/>
      <c r="G26" s="654">
        <v>0.36</v>
      </c>
      <c r="H26" s="655"/>
      <c r="I26" s="661">
        <v>45</v>
      </c>
      <c r="J26" s="661"/>
      <c r="K26" s="661">
        <v>0</v>
      </c>
      <c r="L26" s="661"/>
      <c r="M26" s="659">
        <v>7.5</v>
      </c>
      <c r="N26" s="660"/>
      <c r="O26" s="654">
        <v>0.49</v>
      </c>
      <c r="P26" s="655"/>
      <c r="Q26" s="661">
        <v>67.5</v>
      </c>
      <c r="R26" s="661"/>
      <c r="S26" s="661">
        <v>0</v>
      </c>
      <c r="T26" s="661"/>
    </row>
    <row r="27" spans="1:20" ht="12.75">
      <c r="A27" s="70">
        <v>5</v>
      </c>
      <c r="B27" s="656" t="s">
        <v>50</v>
      </c>
      <c r="C27" s="657"/>
      <c r="D27" s="658"/>
      <c r="E27" s="659" t="s">
        <v>503</v>
      </c>
      <c r="F27" s="660"/>
      <c r="G27" s="654">
        <v>0.12</v>
      </c>
      <c r="H27" s="655"/>
      <c r="I27" s="661">
        <v>0</v>
      </c>
      <c r="J27" s="661"/>
      <c r="K27" s="661">
        <v>0</v>
      </c>
      <c r="L27" s="661"/>
      <c r="M27" s="659" t="s">
        <v>503</v>
      </c>
      <c r="N27" s="660"/>
      <c r="O27" s="654">
        <v>0.15</v>
      </c>
      <c r="P27" s="655"/>
      <c r="Q27" s="661">
        <v>0</v>
      </c>
      <c r="R27" s="661"/>
      <c r="S27" s="661">
        <v>0</v>
      </c>
      <c r="T27" s="661"/>
    </row>
    <row r="28" spans="1:20" ht="12.75">
      <c r="A28" s="70">
        <v>6</v>
      </c>
      <c r="B28" s="656" t="s">
        <v>51</v>
      </c>
      <c r="C28" s="657"/>
      <c r="D28" s="658"/>
      <c r="E28" s="659" t="s">
        <v>503</v>
      </c>
      <c r="F28" s="660"/>
      <c r="G28" s="654">
        <v>0.1</v>
      </c>
      <c r="H28" s="655"/>
      <c r="I28" s="661">
        <v>0</v>
      </c>
      <c r="J28" s="661"/>
      <c r="K28" s="661">
        <v>0</v>
      </c>
      <c r="L28" s="661"/>
      <c r="M28" s="659" t="s">
        <v>503</v>
      </c>
      <c r="N28" s="660"/>
      <c r="O28" s="654">
        <v>0.1</v>
      </c>
      <c r="P28" s="655"/>
      <c r="Q28" s="661">
        <v>0</v>
      </c>
      <c r="R28" s="661"/>
      <c r="S28" s="661">
        <v>0</v>
      </c>
      <c r="T28" s="661"/>
    </row>
    <row r="29" spans="1:20" ht="12.75">
      <c r="A29" s="70"/>
      <c r="B29" s="698" t="s">
        <v>16</v>
      </c>
      <c r="C29" s="698"/>
      <c r="D29" s="698"/>
      <c r="E29" s="673"/>
      <c r="F29" s="673"/>
      <c r="G29" s="673">
        <f>SUM(G24:G28)</f>
        <v>4.97</v>
      </c>
      <c r="H29" s="673"/>
      <c r="I29" s="671">
        <f>SUM(I23:I28)</f>
        <v>514</v>
      </c>
      <c r="J29" s="671"/>
      <c r="K29" s="671">
        <f>SUM(K23:K28)</f>
        <v>22.27</v>
      </c>
      <c r="L29" s="671"/>
      <c r="M29" s="673"/>
      <c r="N29" s="673"/>
      <c r="O29" s="673">
        <f>SUM(O24:O28)</f>
        <v>7.45</v>
      </c>
      <c r="P29" s="673"/>
      <c r="Q29" s="671">
        <f>SUM(Q23:Q28)</f>
        <v>722.5</v>
      </c>
      <c r="R29" s="671"/>
      <c r="S29" s="671">
        <f>SUM(S23:S28)</f>
        <v>26.27</v>
      </c>
      <c r="T29" s="671"/>
    </row>
    <row r="30" spans="1:20" ht="12.75">
      <c r="A30" s="117"/>
      <c r="B30" s="118"/>
      <c r="C30" s="118"/>
      <c r="D30" s="118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 ht="12.75" customHeight="1">
      <c r="A31" s="233" t="s">
        <v>628</v>
      </c>
      <c r="B31" s="420"/>
      <c r="C31" s="420"/>
      <c r="D31" s="420"/>
      <c r="E31" s="420"/>
      <c r="F31" s="420"/>
      <c r="G31" s="420"/>
      <c r="H31" s="420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 ht="12.75">
      <c r="A32" s="233"/>
      <c r="B32" s="118"/>
      <c r="C32" s="118"/>
      <c r="D32" s="118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s="28" customFormat="1" ht="17.25" customHeight="1">
      <c r="A33" s="2" t="s">
        <v>21</v>
      </c>
      <c r="B33" s="689" t="s">
        <v>408</v>
      </c>
      <c r="C33" s="690"/>
      <c r="D33" s="691"/>
      <c r="E33" s="695" t="s">
        <v>22</v>
      </c>
      <c r="F33" s="696"/>
      <c r="G33" s="696"/>
      <c r="H33" s="696"/>
      <c r="I33" s="696"/>
      <c r="J33" s="697"/>
      <c r="K33" s="673" t="s">
        <v>23</v>
      </c>
      <c r="L33" s="673"/>
      <c r="M33" s="673"/>
      <c r="N33" s="673"/>
      <c r="O33" s="673"/>
      <c r="P33" s="673"/>
      <c r="Q33" s="672"/>
      <c r="R33" s="672"/>
      <c r="S33" s="672"/>
      <c r="T33" s="672"/>
    </row>
    <row r="34" spans="1:20" ht="12.75">
      <c r="A34" s="4"/>
      <c r="B34" s="692"/>
      <c r="C34" s="693"/>
      <c r="D34" s="694"/>
      <c r="E34" s="669" t="s">
        <v>426</v>
      </c>
      <c r="F34" s="670"/>
      <c r="G34" s="669" t="s">
        <v>427</v>
      </c>
      <c r="H34" s="670"/>
      <c r="I34" s="669" t="s">
        <v>428</v>
      </c>
      <c r="J34" s="670"/>
      <c r="K34" s="673" t="s">
        <v>426</v>
      </c>
      <c r="L34" s="673"/>
      <c r="M34" s="673" t="s">
        <v>427</v>
      </c>
      <c r="N34" s="673"/>
      <c r="O34" s="673" t="s">
        <v>428</v>
      </c>
      <c r="P34" s="673"/>
      <c r="Q34" s="12"/>
      <c r="R34" s="12"/>
      <c r="S34" s="12"/>
      <c r="T34" s="12"/>
    </row>
    <row r="35" spans="1:20" ht="12.75">
      <c r="A35" s="70"/>
      <c r="B35" s="669" t="s">
        <v>509</v>
      </c>
      <c r="C35" s="688"/>
      <c r="D35" s="670"/>
      <c r="E35" s="669"/>
      <c r="F35" s="670"/>
      <c r="G35" s="669"/>
      <c r="H35" s="670"/>
      <c r="I35" s="669"/>
      <c r="J35" s="670"/>
      <c r="K35" s="673"/>
      <c r="L35" s="673"/>
      <c r="M35" s="673"/>
      <c r="N35" s="673"/>
      <c r="O35" s="673"/>
      <c r="P35" s="673"/>
      <c r="Q35" s="12"/>
      <c r="R35" s="12"/>
      <c r="S35" s="12"/>
      <c r="T35" s="12"/>
    </row>
    <row r="37" spans="1:9" ht="13.5" customHeight="1">
      <c r="A37" s="683" t="s">
        <v>625</v>
      </c>
      <c r="B37" s="683"/>
      <c r="C37" s="683"/>
      <c r="D37" s="683"/>
      <c r="E37" s="683"/>
      <c r="F37" s="683"/>
      <c r="G37" s="683"/>
      <c r="H37" s="683"/>
      <c r="I37" s="683"/>
    </row>
    <row r="38" spans="1:9" ht="13.5" customHeight="1">
      <c r="A38" s="684" t="s">
        <v>54</v>
      </c>
      <c r="B38" s="684" t="s">
        <v>22</v>
      </c>
      <c r="C38" s="684"/>
      <c r="D38" s="684"/>
      <c r="E38" s="687" t="s">
        <v>23</v>
      </c>
      <c r="F38" s="687"/>
      <c r="G38" s="687"/>
      <c r="H38" s="686" t="s">
        <v>144</v>
      </c>
      <c r="I38" s="686"/>
    </row>
    <row r="39" spans="1:9" ht="15">
      <c r="A39" s="684"/>
      <c r="B39" s="51" t="s">
        <v>170</v>
      </c>
      <c r="C39" s="74" t="s">
        <v>97</v>
      </c>
      <c r="D39" s="51" t="s">
        <v>16</v>
      </c>
      <c r="E39" s="51" t="s">
        <v>170</v>
      </c>
      <c r="F39" s="74" t="s">
        <v>97</v>
      </c>
      <c r="G39" s="51" t="s">
        <v>16</v>
      </c>
      <c r="H39" s="686"/>
      <c r="I39" s="686"/>
    </row>
    <row r="40" spans="1:9" ht="15">
      <c r="A40" s="27" t="s">
        <v>842</v>
      </c>
      <c r="B40" s="320">
        <v>4.03</v>
      </c>
      <c r="C40" s="320">
        <v>0.5</v>
      </c>
      <c r="D40" s="320">
        <f>SUM(B40:C40)</f>
        <v>4.53</v>
      </c>
      <c r="E40" s="320">
        <v>6.04</v>
      </c>
      <c r="F40" s="320">
        <v>0.67</v>
      </c>
      <c r="G40" s="320">
        <f>SUM(E40:F40)</f>
        <v>6.71</v>
      </c>
      <c r="H40" s="685"/>
      <c r="I40" s="685"/>
    </row>
    <row r="41" spans="1:9" ht="15">
      <c r="A41" s="27" t="s">
        <v>921</v>
      </c>
      <c r="B41" s="320">
        <v>4.47</v>
      </c>
      <c r="C41" s="320">
        <v>0.5</v>
      </c>
      <c r="D41" s="320">
        <f>SUM(B41:C41)</f>
        <v>4.97</v>
      </c>
      <c r="E41" s="320">
        <v>6.7</v>
      </c>
      <c r="F41" s="320">
        <v>0.75</v>
      </c>
      <c r="G41" s="320">
        <f>SUM(E41:F41)</f>
        <v>7.45</v>
      </c>
      <c r="H41" s="685" t="s">
        <v>171</v>
      </c>
      <c r="I41" s="685"/>
    </row>
    <row r="42" spans="1:9" ht="15">
      <c r="A42" s="116" t="s">
        <v>229</v>
      </c>
      <c r="B42" s="231"/>
      <c r="C42" s="231"/>
      <c r="D42" s="13"/>
      <c r="E42" s="13"/>
      <c r="F42" s="232"/>
      <c r="G42" s="232"/>
      <c r="H42" s="232"/>
      <c r="I42"/>
    </row>
    <row r="43" spans="1:9" ht="15">
      <c r="A43" s="116"/>
      <c r="B43" s="231"/>
      <c r="C43" s="231"/>
      <c r="D43" s="13"/>
      <c r="E43" s="13"/>
      <c r="F43" s="232"/>
      <c r="G43" s="232"/>
      <c r="H43" s="232"/>
      <c r="I43"/>
    </row>
    <row r="44" spans="1:9" ht="15">
      <c r="A44" s="116"/>
      <c r="B44" s="231"/>
      <c r="C44" s="231"/>
      <c r="D44" s="13"/>
      <c r="E44" s="13"/>
      <c r="F44" s="232"/>
      <c r="G44" s="232"/>
      <c r="H44" s="232"/>
      <c r="I44"/>
    </row>
    <row r="45" spans="14:17" ht="12.75">
      <c r="N45" s="676"/>
      <c r="O45" s="676"/>
      <c r="P45" s="676"/>
      <c r="Q45" s="676"/>
    </row>
    <row r="46" spans="1:18" s="16" customFormat="1" ht="12.75" customHeight="1">
      <c r="A46" s="15" t="s">
        <v>12</v>
      </c>
      <c r="B46" s="15"/>
      <c r="C46" s="15"/>
      <c r="D46" s="15"/>
      <c r="E46" s="15"/>
      <c r="F46" s="15"/>
      <c r="G46" s="15"/>
      <c r="I46" s="15"/>
      <c r="N46" s="699" t="s">
        <v>1062</v>
      </c>
      <c r="O46" s="699"/>
      <c r="P46" s="699"/>
      <c r="Q46" s="699"/>
      <c r="R46" s="699"/>
    </row>
    <row r="47" spans="2:19" s="16" customFormat="1" ht="12.75" customHeight="1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699" t="s">
        <v>485</v>
      </c>
      <c r="O47" s="699"/>
      <c r="P47" s="699"/>
      <c r="Q47" s="699"/>
      <c r="R47" s="699"/>
      <c r="S47" s="86"/>
    </row>
    <row r="48" spans="14:17" ht="12.75" customHeight="1">
      <c r="N48" s="668" t="s">
        <v>80</v>
      </c>
      <c r="O48" s="668"/>
      <c r="P48" s="668"/>
      <c r="Q48" s="668"/>
    </row>
  </sheetData>
  <sheetProtection/>
  <mergeCells count="151">
    <mergeCell ref="N45:Q45"/>
    <mergeCell ref="N46:R46"/>
    <mergeCell ref="N47:R47"/>
    <mergeCell ref="A2:T2"/>
    <mergeCell ref="A3:T3"/>
    <mergeCell ref="A5:T5"/>
    <mergeCell ref="M34:N34"/>
    <mergeCell ref="A15:G15"/>
    <mergeCell ref="C16:D16"/>
    <mergeCell ref="A16:B16"/>
    <mergeCell ref="B29:D29"/>
    <mergeCell ref="E34:F34"/>
    <mergeCell ref="E29:F29"/>
    <mergeCell ref="G29:H29"/>
    <mergeCell ref="G34:H34"/>
    <mergeCell ref="S26:T26"/>
    <mergeCell ref="S28:T28"/>
    <mergeCell ref="I29:J29"/>
    <mergeCell ref="I28:J28"/>
    <mergeCell ref="S33:T33"/>
    <mergeCell ref="B35:D35"/>
    <mergeCell ref="B33:D34"/>
    <mergeCell ref="E33:J33"/>
    <mergeCell ref="O34:P34"/>
    <mergeCell ref="M35:N35"/>
    <mergeCell ref="O35:P35"/>
    <mergeCell ref="I35:J35"/>
    <mergeCell ref="K33:P33"/>
    <mergeCell ref="K34:L34"/>
    <mergeCell ref="I34:J34"/>
    <mergeCell ref="A37:I37"/>
    <mergeCell ref="A38:A39"/>
    <mergeCell ref="K35:L35"/>
    <mergeCell ref="E35:F35"/>
    <mergeCell ref="H40:I40"/>
    <mergeCell ref="H41:I41"/>
    <mergeCell ref="B38:D38"/>
    <mergeCell ref="H38:I39"/>
    <mergeCell ref="G35:H35"/>
    <mergeCell ref="E38:G38"/>
    <mergeCell ref="B24:D24"/>
    <mergeCell ref="M20:T20"/>
    <mergeCell ref="O25:P25"/>
    <mergeCell ref="I26:J26"/>
    <mergeCell ref="K29:L29"/>
    <mergeCell ref="O26:P26"/>
    <mergeCell ref="K27:L27"/>
    <mergeCell ref="S29:T29"/>
    <mergeCell ref="I24:J24"/>
    <mergeCell ref="M23:N23"/>
    <mergeCell ref="S27:T27"/>
    <mergeCell ref="G28:H28"/>
    <mergeCell ref="O28:P28"/>
    <mergeCell ref="M28:N28"/>
    <mergeCell ref="I27:J27"/>
    <mergeCell ref="K28:L28"/>
    <mergeCell ref="Q28:R28"/>
    <mergeCell ref="Q27:R27"/>
    <mergeCell ref="M27:N27"/>
    <mergeCell ref="O27:P27"/>
    <mergeCell ref="O29:P29"/>
    <mergeCell ref="M25:N25"/>
    <mergeCell ref="A17:B17"/>
    <mergeCell ref="C17:D17"/>
    <mergeCell ref="F10:G10"/>
    <mergeCell ref="B25:D25"/>
    <mergeCell ref="D10:E10"/>
    <mergeCell ref="A20:A21"/>
    <mergeCell ref="D12:E12"/>
    <mergeCell ref="B11:C11"/>
    <mergeCell ref="B22:D22"/>
    <mergeCell ref="B23:D23"/>
    <mergeCell ref="G21:H21"/>
    <mergeCell ref="D11:E11"/>
    <mergeCell ref="B13:C13"/>
    <mergeCell ref="B12:C12"/>
    <mergeCell ref="B20:D21"/>
    <mergeCell ref="E22:F22"/>
    <mergeCell ref="E21:F21"/>
    <mergeCell ref="M26:N26"/>
    <mergeCell ref="O23:P23"/>
    <mergeCell ref="M24:N24"/>
    <mergeCell ref="O24:P24"/>
    <mergeCell ref="Q25:R25"/>
    <mergeCell ref="Q26:R26"/>
    <mergeCell ref="Q23:R23"/>
    <mergeCell ref="J10:K10"/>
    <mergeCell ref="E20:L20"/>
    <mergeCell ref="A19:S19"/>
    <mergeCell ref="S25:T25"/>
    <mergeCell ref="S24:T24"/>
    <mergeCell ref="S23:T23"/>
    <mergeCell ref="K25:L25"/>
    <mergeCell ref="E23:F23"/>
    <mergeCell ref="M21:N21"/>
    <mergeCell ref="K21:L21"/>
    <mergeCell ref="R1:S1"/>
    <mergeCell ref="F12:G12"/>
    <mergeCell ref="H13:I13"/>
    <mergeCell ref="J9:K9"/>
    <mergeCell ref="J13:K13"/>
    <mergeCell ref="J11:K11"/>
    <mergeCell ref="H1:I1"/>
    <mergeCell ref="H9:I9"/>
    <mergeCell ref="H10:I10"/>
    <mergeCell ref="H11:I11"/>
    <mergeCell ref="Q24:R24"/>
    <mergeCell ref="S21:T21"/>
    <mergeCell ref="S22:T22"/>
    <mergeCell ref="I22:J22"/>
    <mergeCell ref="G22:H22"/>
    <mergeCell ref="I23:J23"/>
    <mergeCell ref="Q21:R21"/>
    <mergeCell ref="K22:L22"/>
    <mergeCell ref="A6:B6"/>
    <mergeCell ref="A7:I7"/>
    <mergeCell ref="D9:E9"/>
    <mergeCell ref="F9:G9"/>
    <mergeCell ref="B10:C10"/>
    <mergeCell ref="F13:G13"/>
    <mergeCell ref="F11:G11"/>
    <mergeCell ref="D13:E13"/>
    <mergeCell ref="H12:I12"/>
    <mergeCell ref="B9:C9"/>
    <mergeCell ref="N48:Q48"/>
    <mergeCell ref="G23:H23"/>
    <mergeCell ref="Q29:R29"/>
    <mergeCell ref="Q33:R33"/>
    <mergeCell ref="M29:N29"/>
    <mergeCell ref="B26:D26"/>
    <mergeCell ref="E26:F26"/>
    <mergeCell ref="G26:H26"/>
    <mergeCell ref="B27:D27"/>
    <mergeCell ref="E27:F27"/>
    <mergeCell ref="J12:K12"/>
    <mergeCell ref="K23:L23"/>
    <mergeCell ref="Q22:R22"/>
    <mergeCell ref="O21:P21"/>
    <mergeCell ref="M22:N22"/>
    <mergeCell ref="O22:P22"/>
    <mergeCell ref="I21:J21"/>
    <mergeCell ref="G27:H27"/>
    <mergeCell ref="B28:D28"/>
    <mergeCell ref="E28:F28"/>
    <mergeCell ref="K24:L24"/>
    <mergeCell ref="E24:F24"/>
    <mergeCell ref="G24:H24"/>
    <mergeCell ref="E25:F25"/>
    <mergeCell ref="G25:H25"/>
    <mergeCell ref="K26:L26"/>
    <mergeCell ref="I25:J25"/>
  </mergeCells>
  <printOptions horizontalCentered="1"/>
  <pageMargins left="0.82" right="0.33" top="0.2362204724409449" bottom="0" header="0.31496062992125984" footer="0.14"/>
  <pageSetup fitToHeight="1" fitToWidth="1" horizontalDpi="600" verticalDpi="600" orientation="landscape" paperSize="9" scale="77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SheetLayoutView="100" zoomScalePageLayoutView="0" workbookViewId="0" topLeftCell="A1">
      <selection activeCell="F24" sqref="F24:H24"/>
    </sheetView>
  </sheetViews>
  <sheetFormatPr defaultColWidth="9.140625" defaultRowHeight="12.75"/>
  <cols>
    <col min="1" max="1" width="7.140625" style="0" customWidth="1"/>
    <col min="2" max="2" width="16.28125" style="0" customWidth="1"/>
    <col min="3" max="3" width="14.57421875" style="0" customWidth="1"/>
    <col min="4" max="4" width="13.00390625" style="424" customWidth="1"/>
    <col min="5" max="5" width="14.140625" style="424" customWidth="1"/>
    <col min="6" max="6" width="16.57421875" style="424" customWidth="1"/>
    <col min="7" max="7" width="19.28125" style="424" customWidth="1"/>
    <col min="8" max="8" width="16.00390625" style="424" customWidth="1"/>
  </cols>
  <sheetData>
    <row r="1" ht="12.75">
      <c r="H1" s="425" t="s">
        <v>706</v>
      </c>
    </row>
    <row r="2" spans="1:15" ht="18">
      <c r="A2" s="760" t="s">
        <v>0</v>
      </c>
      <c r="B2" s="760"/>
      <c r="C2" s="760"/>
      <c r="D2" s="760"/>
      <c r="E2" s="760"/>
      <c r="F2" s="760"/>
      <c r="G2" s="760"/>
      <c r="H2" s="760"/>
      <c r="I2" s="208"/>
      <c r="J2" s="208"/>
      <c r="K2" s="208"/>
      <c r="L2" s="208"/>
      <c r="M2" s="208"/>
      <c r="N2" s="208"/>
      <c r="O2" s="208"/>
    </row>
    <row r="3" spans="1:15" ht="21">
      <c r="A3" s="761" t="s">
        <v>878</v>
      </c>
      <c r="B3" s="761"/>
      <c r="C3" s="761"/>
      <c r="D3" s="761"/>
      <c r="E3" s="761"/>
      <c r="F3" s="761"/>
      <c r="G3" s="761"/>
      <c r="H3" s="761"/>
      <c r="I3" s="209"/>
      <c r="J3" s="209"/>
      <c r="K3" s="209"/>
      <c r="L3" s="209"/>
      <c r="M3" s="209"/>
      <c r="N3" s="209"/>
      <c r="O3" s="209"/>
    </row>
    <row r="4" spans="1:15" ht="15">
      <c r="A4" s="183"/>
      <c r="B4" s="183"/>
      <c r="C4" s="183"/>
      <c r="D4" s="422"/>
      <c r="E4" s="422"/>
      <c r="F4" s="422"/>
      <c r="G4" s="422"/>
      <c r="H4" s="422"/>
      <c r="I4" s="183"/>
      <c r="J4" s="183"/>
      <c r="K4" s="183"/>
      <c r="L4" s="183"/>
      <c r="M4" s="183"/>
      <c r="N4" s="183"/>
      <c r="O4" s="183"/>
    </row>
    <row r="5" spans="1:15" ht="18">
      <c r="A5" s="760" t="s">
        <v>707</v>
      </c>
      <c r="B5" s="760"/>
      <c r="C5" s="760"/>
      <c r="D5" s="760"/>
      <c r="E5" s="760"/>
      <c r="F5" s="760"/>
      <c r="G5" s="760"/>
      <c r="H5" s="760"/>
      <c r="I5" s="208"/>
      <c r="J5" s="208"/>
      <c r="K5" s="208"/>
      <c r="L5" s="208"/>
      <c r="M5" s="208"/>
      <c r="N5" s="208"/>
      <c r="O5" s="208"/>
    </row>
    <row r="6" spans="1:15" ht="15">
      <c r="A6" s="184" t="s">
        <v>654</v>
      </c>
      <c r="B6" s="184"/>
      <c r="C6" s="183"/>
      <c r="D6" s="422"/>
      <c r="E6" s="422"/>
      <c r="F6" s="422"/>
      <c r="G6" s="892" t="s">
        <v>931</v>
      </c>
      <c r="H6" s="892"/>
      <c r="I6" s="183"/>
      <c r="J6" s="183"/>
      <c r="K6" s="183"/>
      <c r="L6" s="423"/>
      <c r="M6" s="423"/>
      <c r="N6" s="887"/>
      <c r="O6" s="887"/>
    </row>
    <row r="7" spans="1:8" ht="21" customHeight="1">
      <c r="A7" s="872" t="s">
        <v>2</v>
      </c>
      <c r="B7" s="872" t="s">
        <v>3</v>
      </c>
      <c r="C7" s="888" t="s">
        <v>390</v>
      </c>
      <c r="D7" s="889" t="s">
        <v>638</v>
      </c>
      <c r="E7" s="890"/>
      <c r="F7" s="890"/>
      <c r="G7" s="890"/>
      <c r="H7" s="891"/>
    </row>
    <row r="8" spans="1:8" ht="31.5" customHeight="1">
      <c r="A8" s="872"/>
      <c r="B8" s="872"/>
      <c r="C8" s="888"/>
      <c r="D8" s="426" t="s">
        <v>639</v>
      </c>
      <c r="E8" s="426" t="s">
        <v>640</v>
      </c>
      <c r="F8" s="426" t="s">
        <v>641</v>
      </c>
      <c r="G8" s="426" t="s">
        <v>797</v>
      </c>
      <c r="H8" s="426" t="s">
        <v>44</v>
      </c>
    </row>
    <row r="9" spans="1:8" ht="15">
      <c r="A9" s="210">
        <v>1</v>
      </c>
      <c r="B9" s="210">
        <v>2</v>
      </c>
      <c r="C9" s="210">
        <v>3</v>
      </c>
      <c r="D9" s="210">
        <v>4</v>
      </c>
      <c r="E9" s="210">
        <v>5</v>
      </c>
      <c r="F9" s="210">
        <v>6</v>
      </c>
      <c r="G9" s="210">
        <v>7</v>
      </c>
      <c r="H9" s="210">
        <v>8</v>
      </c>
    </row>
    <row r="10" spans="1:8" ht="12.75">
      <c r="A10" s="8">
        <v>1</v>
      </c>
      <c r="B10" s="19" t="s">
        <v>473</v>
      </c>
      <c r="C10" s="9">
        <f>'AT-23'!D13</f>
        <v>917</v>
      </c>
      <c r="D10" s="186">
        <f>569+30</f>
        <v>599</v>
      </c>
      <c r="E10" s="186">
        <v>0</v>
      </c>
      <c r="F10" s="186">
        <f>C10-D10</f>
        <v>318</v>
      </c>
      <c r="G10" s="186">
        <v>0</v>
      </c>
      <c r="H10" s="186">
        <v>0</v>
      </c>
    </row>
    <row r="11" spans="1:8" ht="12.75">
      <c r="A11" s="8">
        <v>2</v>
      </c>
      <c r="B11" s="19" t="s">
        <v>474</v>
      </c>
      <c r="C11" s="9">
        <f>'AT-23'!D14</f>
        <v>875</v>
      </c>
      <c r="D11" s="186">
        <v>161</v>
      </c>
      <c r="E11" s="186">
        <v>0</v>
      </c>
      <c r="F11" s="186">
        <f aca="true" t="shared" si="0" ref="F11:F17">C11-D11</f>
        <v>714</v>
      </c>
      <c r="G11" s="186">
        <v>0</v>
      </c>
      <c r="H11" s="186">
        <v>0</v>
      </c>
    </row>
    <row r="12" spans="1:8" ht="12.75">
      <c r="A12" s="8">
        <v>3</v>
      </c>
      <c r="B12" s="19" t="s">
        <v>475</v>
      </c>
      <c r="C12" s="9">
        <f>'AT-23'!D15</f>
        <v>668</v>
      </c>
      <c r="D12" s="186">
        <v>181</v>
      </c>
      <c r="E12" s="186">
        <v>0</v>
      </c>
      <c r="F12" s="186">
        <f t="shared" si="0"/>
        <v>487</v>
      </c>
      <c r="G12" s="186">
        <v>0</v>
      </c>
      <c r="H12" s="186">
        <v>0</v>
      </c>
    </row>
    <row r="13" spans="1:8" ht="12.75">
      <c r="A13" s="8">
        <v>4</v>
      </c>
      <c r="B13" s="19" t="s">
        <v>476</v>
      </c>
      <c r="C13" s="9">
        <f>'AT-23'!D16</f>
        <v>810</v>
      </c>
      <c r="D13" s="186">
        <v>205</v>
      </c>
      <c r="E13" s="186">
        <v>0</v>
      </c>
      <c r="F13" s="186">
        <f t="shared" si="0"/>
        <v>605</v>
      </c>
      <c r="G13" s="186">
        <v>0</v>
      </c>
      <c r="H13" s="186">
        <v>0</v>
      </c>
    </row>
    <row r="14" spans="1:8" ht="12.75">
      <c r="A14" s="8">
        <v>5</v>
      </c>
      <c r="B14" s="19" t="s">
        <v>477</v>
      </c>
      <c r="C14" s="9">
        <f>'AT-23'!D17</f>
        <v>925</v>
      </c>
      <c r="D14" s="186">
        <v>151</v>
      </c>
      <c r="E14" s="186">
        <v>0</v>
      </c>
      <c r="F14" s="186">
        <f t="shared" si="0"/>
        <v>774</v>
      </c>
      <c r="G14" s="186">
        <v>0</v>
      </c>
      <c r="H14" s="186">
        <v>0</v>
      </c>
    </row>
    <row r="15" spans="1:8" ht="12.75">
      <c r="A15" s="8">
        <v>6</v>
      </c>
      <c r="B15" s="19" t="s">
        <v>478</v>
      </c>
      <c r="C15" s="9">
        <f>'AT-23'!D18</f>
        <v>470</v>
      </c>
      <c r="D15" s="186">
        <v>138</v>
      </c>
      <c r="E15" s="186">
        <v>0</v>
      </c>
      <c r="F15" s="186">
        <f t="shared" si="0"/>
        <v>332</v>
      </c>
      <c r="G15" s="186">
        <v>0</v>
      </c>
      <c r="H15" s="186">
        <v>0</v>
      </c>
    </row>
    <row r="16" spans="1:8" ht="12.75">
      <c r="A16" s="8">
        <v>7</v>
      </c>
      <c r="B16" s="19" t="s">
        <v>479</v>
      </c>
      <c r="C16" s="9">
        <f>'AT-23'!D19</f>
        <v>719</v>
      </c>
      <c r="D16" s="186">
        <v>132</v>
      </c>
      <c r="E16" s="186">
        <v>0</v>
      </c>
      <c r="F16" s="186">
        <f t="shared" si="0"/>
        <v>587</v>
      </c>
      <c r="G16" s="186">
        <v>0</v>
      </c>
      <c r="H16" s="186">
        <v>0</v>
      </c>
    </row>
    <row r="17" spans="1:8" ht="12.75">
      <c r="A17" s="8">
        <v>8</v>
      </c>
      <c r="B17" s="19" t="s">
        <v>480</v>
      </c>
      <c r="C17" s="9">
        <f>'AT-23'!D20</f>
        <v>1140</v>
      </c>
      <c r="D17" s="186">
        <v>144</v>
      </c>
      <c r="E17" s="186">
        <v>0</v>
      </c>
      <c r="F17" s="186">
        <f t="shared" si="0"/>
        <v>996</v>
      </c>
      <c r="G17" s="186">
        <v>0</v>
      </c>
      <c r="H17" s="186">
        <v>0</v>
      </c>
    </row>
    <row r="18" spans="1:8" ht="15" customHeight="1">
      <c r="A18" s="137" t="s">
        <v>16</v>
      </c>
      <c r="B18" s="137"/>
      <c r="C18" s="137">
        <f aca="true" t="shared" si="1" ref="C18:H18">SUM(C10:C17)</f>
        <v>6524</v>
      </c>
      <c r="D18" s="137">
        <f t="shared" si="1"/>
        <v>1711</v>
      </c>
      <c r="E18" s="137">
        <f t="shared" si="1"/>
        <v>0</v>
      </c>
      <c r="F18" s="137">
        <f t="shared" si="1"/>
        <v>4813</v>
      </c>
      <c r="G18" s="137">
        <f t="shared" si="1"/>
        <v>0</v>
      </c>
      <c r="H18" s="137">
        <f t="shared" si="1"/>
        <v>0</v>
      </c>
    </row>
    <row r="19" spans="1:8" ht="15" customHeight="1">
      <c r="A19" s="188"/>
      <c r="B19" s="188"/>
      <c r="C19" s="188"/>
      <c r="D19" s="189"/>
      <c r="E19" s="189"/>
      <c r="F19" s="189"/>
      <c r="G19" s="189"/>
      <c r="H19" s="189"/>
    </row>
    <row r="20" spans="1:8" ht="15" customHeight="1">
      <c r="A20" s="188"/>
      <c r="B20" s="188"/>
      <c r="C20" s="188"/>
      <c r="D20" s="189"/>
      <c r="E20" s="189"/>
      <c r="F20" s="189"/>
      <c r="G20" s="189"/>
      <c r="H20" s="189"/>
    </row>
    <row r="21" spans="1:8" ht="15" customHeight="1">
      <c r="A21" s="188"/>
      <c r="B21" s="188"/>
      <c r="C21" s="188" t="s">
        <v>11</v>
      </c>
      <c r="D21" s="201" t="s">
        <v>11</v>
      </c>
      <c r="E21" s="201"/>
      <c r="F21" s="189" t="s">
        <v>11</v>
      </c>
      <c r="G21" s="189"/>
      <c r="H21" s="189" t="s">
        <v>11</v>
      </c>
    </row>
    <row r="22" spans="1:9" ht="15" customHeight="1">
      <c r="A22" s="188"/>
      <c r="B22" s="188"/>
      <c r="C22" s="188"/>
      <c r="D22" s="201"/>
      <c r="E22" s="201"/>
      <c r="F22" s="201"/>
      <c r="G22" s="764"/>
      <c r="H22" s="764"/>
      <c r="I22" s="201"/>
    </row>
    <row r="23" spans="1:9" ht="12.75" customHeight="1">
      <c r="A23" s="188" t="s">
        <v>12</v>
      </c>
      <c r="C23" s="188"/>
      <c r="D23" s="201"/>
      <c r="E23" s="201"/>
      <c r="F23" s="764" t="s">
        <v>1062</v>
      </c>
      <c r="G23" s="764"/>
      <c r="H23" s="764"/>
      <c r="I23" s="201"/>
    </row>
    <row r="24" spans="4:9" ht="12.75" customHeight="1">
      <c r="D24" s="201"/>
      <c r="E24" s="201"/>
      <c r="F24" s="764" t="s">
        <v>484</v>
      </c>
      <c r="G24" s="764"/>
      <c r="H24" s="764"/>
      <c r="I24" s="201"/>
    </row>
    <row r="25" spans="4:9" ht="12.75">
      <c r="D25" s="201"/>
      <c r="E25" s="201"/>
      <c r="F25" s="192" t="s">
        <v>80</v>
      </c>
      <c r="H25" s="192"/>
      <c r="I25" s="188"/>
    </row>
  </sheetData>
  <sheetProtection/>
  <mergeCells count="12">
    <mergeCell ref="F24:H24"/>
    <mergeCell ref="A2:H2"/>
    <mergeCell ref="A3:H3"/>
    <mergeCell ref="A5:H5"/>
    <mergeCell ref="G6:H6"/>
    <mergeCell ref="G22:H22"/>
    <mergeCell ref="N6:O6"/>
    <mergeCell ref="C7:C8"/>
    <mergeCell ref="D7:H7"/>
    <mergeCell ref="A7:A8"/>
    <mergeCell ref="B7:B8"/>
    <mergeCell ref="F23:H23"/>
  </mergeCells>
  <printOptions horizontalCentered="1"/>
  <pageMargins left="0.708661417322835" right="0.21" top="1.28" bottom="0" header="0.31496062992126" footer="0.31496062992126"/>
  <pageSetup horizontalDpi="600" verticalDpi="600" orientation="landscape" paperSize="9" scale="105" r:id="rId1"/>
  <colBreaks count="1" manualBreakCount="1">
    <brk id="13" max="6553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view="pageBreakPreview" zoomScaleSheetLayoutView="100" zoomScalePageLayoutView="0" workbookViewId="0" topLeftCell="A3">
      <selection activeCell="K24" sqref="K24:N24"/>
    </sheetView>
  </sheetViews>
  <sheetFormatPr defaultColWidth="9.140625" defaultRowHeight="12.75"/>
  <cols>
    <col min="1" max="1" width="5.8515625" style="0" customWidth="1"/>
    <col min="2" max="2" width="13.28125" style="0" customWidth="1"/>
    <col min="3" max="3" width="13.8515625" style="0" customWidth="1"/>
    <col min="4" max="4" width="9.421875" style="0" customWidth="1"/>
    <col min="5" max="5" width="9.00390625" style="0" customWidth="1"/>
    <col min="6" max="6" width="9.28125" style="0" customWidth="1"/>
    <col min="7" max="7" width="11.421875" style="0" customWidth="1"/>
    <col min="8" max="8" width="10.421875" style="0" customWidth="1"/>
    <col min="9" max="9" width="14.421875" style="0" customWidth="1"/>
    <col min="10" max="10" width="13.57421875" style="0" customWidth="1"/>
    <col min="11" max="11" width="10.00390625" style="0" customWidth="1"/>
    <col min="12" max="12" width="9.7109375" style="0" customWidth="1"/>
    <col min="13" max="13" width="11.00390625" style="0" customWidth="1"/>
    <col min="14" max="14" width="10.140625" style="0" customWidth="1"/>
  </cols>
  <sheetData>
    <row r="1" ht="12.75">
      <c r="N1" s="216" t="s">
        <v>708</v>
      </c>
    </row>
    <row r="2" spans="1:14" ht="18">
      <c r="A2" s="760" t="s">
        <v>0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</row>
    <row r="3" spans="1:14" ht="21">
      <c r="A3" s="761" t="s">
        <v>878</v>
      </c>
      <c r="B3" s="761"/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</row>
    <row r="4" spans="1:10" ht="15">
      <c r="A4" s="183"/>
      <c r="B4" s="183"/>
      <c r="C4" s="183"/>
      <c r="D4" s="183"/>
      <c r="E4" s="183"/>
      <c r="F4" s="183"/>
      <c r="G4" s="183"/>
      <c r="H4" s="183"/>
      <c r="I4" s="183"/>
      <c r="J4" s="183"/>
    </row>
    <row r="5" spans="1:14" ht="18">
      <c r="A5" s="760" t="s">
        <v>709</v>
      </c>
      <c r="B5" s="760"/>
      <c r="C5" s="760"/>
      <c r="D5" s="760"/>
      <c r="E5" s="760"/>
      <c r="F5" s="760"/>
      <c r="G5" s="760"/>
      <c r="H5" s="760"/>
      <c r="I5" s="760"/>
      <c r="J5" s="760"/>
      <c r="K5" s="760"/>
      <c r="L5" s="760"/>
      <c r="M5" s="760"/>
      <c r="N5" s="760"/>
    </row>
    <row r="6" spans="1:14" ht="15">
      <c r="A6" s="184" t="s">
        <v>482</v>
      </c>
      <c r="B6" s="184"/>
      <c r="C6" s="184"/>
      <c r="D6" s="184"/>
      <c r="E6" s="184"/>
      <c r="F6" s="184"/>
      <c r="G6" s="184"/>
      <c r="H6" s="183"/>
      <c r="I6" s="183"/>
      <c r="J6" s="183"/>
      <c r="K6" s="893" t="s">
        <v>931</v>
      </c>
      <c r="L6" s="893"/>
      <c r="M6" s="893"/>
      <c r="N6" s="893"/>
    </row>
    <row r="7" spans="1:14" s="260" customFormat="1" ht="39.75" customHeight="1">
      <c r="A7" s="870" t="s">
        <v>2</v>
      </c>
      <c r="B7" s="870" t="s">
        <v>3</v>
      </c>
      <c r="C7" s="674" t="s">
        <v>401</v>
      </c>
      <c r="D7" s="775" t="s">
        <v>453</v>
      </c>
      <c r="E7" s="775"/>
      <c r="F7" s="775"/>
      <c r="G7" s="775"/>
      <c r="H7" s="665"/>
      <c r="I7" s="870" t="s">
        <v>710</v>
      </c>
      <c r="J7" s="870" t="s">
        <v>711</v>
      </c>
      <c r="K7" s="872" t="s">
        <v>681</v>
      </c>
      <c r="L7" s="872"/>
      <c r="M7" s="872"/>
      <c r="N7" s="872"/>
    </row>
    <row r="8" spans="1:14" s="260" customFormat="1" ht="32.25" customHeight="1">
      <c r="A8" s="871"/>
      <c r="B8" s="871"/>
      <c r="C8" s="674"/>
      <c r="D8" s="257" t="s">
        <v>452</v>
      </c>
      <c r="E8" s="257" t="s">
        <v>402</v>
      </c>
      <c r="F8" s="257" t="s">
        <v>403</v>
      </c>
      <c r="G8" s="257" t="s">
        <v>404</v>
      </c>
      <c r="H8" s="257" t="s">
        <v>44</v>
      </c>
      <c r="I8" s="871"/>
      <c r="J8" s="871"/>
      <c r="K8" s="357" t="s">
        <v>405</v>
      </c>
      <c r="L8" s="476" t="s">
        <v>682</v>
      </c>
      <c r="M8" s="257" t="s">
        <v>406</v>
      </c>
      <c r="N8" s="476" t="s">
        <v>407</v>
      </c>
    </row>
    <row r="9" spans="1:14" ht="15">
      <c r="A9" s="185" t="s">
        <v>260</v>
      </c>
      <c r="B9" s="185" t="s">
        <v>261</v>
      </c>
      <c r="C9" s="185" t="s">
        <v>262</v>
      </c>
      <c r="D9" s="185" t="s">
        <v>263</v>
      </c>
      <c r="E9" s="185" t="s">
        <v>264</v>
      </c>
      <c r="F9" s="185" t="s">
        <v>265</v>
      </c>
      <c r="G9" s="185" t="s">
        <v>266</v>
      </c>
      <c r="H9" s="185" t="s">
        <v>267</v>
      </c>
      <c r="I9" s="185" t="s">
        <v>286</v>
      </c>
      <c r="J9" s="185" t="s">
        <v>287</v>
      </c>
      <c r="K9" s="185" t="s">
        <v>288</v>
      </c>
      <c r="L9" s="185" t="s">
        <v>315</v>
      </c>
      <c r="M9" s="185" t="s">
        <v>316</v>
      </c>
      <c r="N9" s="185" t="s">
        <v>317</v>
      </c>
    </row>
    <row r="10" spans="1:14" ht="12.75">
      <c r="A10" s="8">
        <v>1</v>
      </c>
      <c r="B10" s="19" t="s">
        <v>473</v>
      </c>
      <c r="C10" s="9">
        <f>'AT-3'!G9</f>
        <v>917</v>
      </c>
      <c r="D10" s="9">
        <v>229</v>
      </c>
      <c r="E10" s="9">
        <v>459</v>
      </c>
      <c r="F10" s="9">
        <v>174</v>
      </c>
      <c r="G10" s="382">
        <v>0</v>
      </c>
      <c r="H10" s="382">
        <f>C10-(D10+E10+F10+G10)</f>
        <v>55</v>
      </c>
      <c r="I10" s="9">
        <f>C10</f>
        <v>917</v>
      </c>
      <c r="J10" s="9">
        <f>I10</f>
        <v>917</v>
      </c>
      <c r="K10" s="9">
        <f>C10</f>
        <v>917</v>
      </c>
      <c r="L10" s="9">
        <f>C10</f>
        <v>917</v>
      </c>
      <c r="M10" s="9">
        <f>C10</f>
        <v>917</v>
      </c>
      <c r="N10" s="9">
        <f>M10</f>
        <v>917</v>
      </c>
    </row>
    <row r="11" spans="1:14" ht="12.75">
      <c r="A11" s="8">
        <v>2</v>
      </c>
      <c r="B11" s="19" t="s">
        <v>474</v>
      </c>
      <c r="C11" s="9">
        <f>'AT-3'!G10</f>
        <v>875</v>
      </c>
      <c r="D11" s="9">
        <v>663</v>
      </c>
      <c r="E11" s="9">
        <v>180</v>
      </c>
      <c r="F11" s="9">
        <v>21</v>
      </c>
      <c r="G11" s="382">
        <v>0</v>
      </c>
      <c r="H11" s="382">
        <f aca="true" t="shared" si="0" ref="H11:H17">C11-(D11+E11+F11+G11)</f>
        <v>11</v>
      </c>
      <c r="I11" s="9">
        <f aca="true" t="shared" si="1" ref="I11:I17">C11</f>
        <v>875</v>
      </c>
      <c r="J11" s="9">
        <f aca="true" t="shared" si="2" ref="J11:J17">I11</f>
        <v>875</v>
      </c>
      <c r="K11" s="9">
        <f aca="true" t="shared" si="3" ref="K11:K17">C11</f>
        <v>875</v>
      </c>
      <c r="L11" s="9">
        <f aca="true" t="shared" si="4" ref="L11:L17">C11</f>
        <v>875</v>
      </c>
      <c r="M11" s="9">
        <f aca="true" t="shared" si="5" ref="M11:M17">C11</f>
        <v>875</v>
      </c>
      <c r="N11" s="9">
        <f aca="true" t="shared" si="6" ref="N11:N17">M11</f>
        <v>875</v>
      </c>
    </row>
    <row r="12" spans="1:14" ht="12.75">
      <c r="A12" s="8">
        <v>3</v>
      </c>
      <c r="B12" s="19" t="s">
        <v>475</v>
      </c>
      <c r="C12" s="9">
        <f>'AT-3'!G11</f>
        <v>668</v>
      </c>
      <c r="D12" s="9">
        <v>41</v>
      </c>
      <c r="E12" s="9">
        <v>334</v>
      </c>
      <c r="F12" s="9">
        <v>212</v>
      </c>
      <c r="G12" s="382">
        <v>0</v>
      </c>
      <c r="H12" s="382">
        <f t="shared" si="0"/>
        <v>81</v>
      </c>
      <c r="I12" s="9">
        <f t="shared" si="1"/>
        <v>668</v>
      </c>
      <c r="J12" s="9">
        <f t="shared" si="2"/>
        <v>668</v>
      </c>
      <c r="K12" s="9">
        <f t="shared" si="3"/>
        <v>668</v>
      </c>
      <c r="L12" s="9">
        <f t="shared" si="4"/>
        <v>668</v>
      </c>
      <c r="M12" s="9">
        <f t="shared" si="5"/>
        <v>668</v>
      </c>
      <c r="N12" s="9">
        <f t="shared" si="6"/>
        <v>668</v>
      </c>
    </row>
    <row r="13" spans="1:14" ht="12.75">
      <c r="A13" s="8">
        <v>4</v>
      </c>
      <c r="B13" s="19" t="s">
        <v>476</v>
      </c>
      <c r="C13" s="9">
        <f>'AT-3'!G12</f>
        <v>810</v>
      </c>
      <c r="D13" s="9">
        <v>57</v>
      </c>
      <c r="E13" s="9">
        <v>405</v>
      </c>
      <c r="F13" s="9">
        <v>296</v>
      </c>
      <c r="G13" s="382">
        <v>0</v>
      </c>
      <c r="H13" s="382">
        <f t="shared" si="0"/>
        <v>52</v>
      </c>
      <c r="I13" s="9">
        <f t="shared" si="1"/>
        <v>810</v>
      </c>
      <c r="J13" s="9">
        <f t="shared" si="2"/>
        <v>810</v>
      </c>
      <c r="K13" s="9">
        <f t="shared" si="3"/>
        <v>810</v>
      </c>
      <c r="L13" s="9">
        <f t="shared" si="4"/>
        <v>810</v>
      </c>
      <c r="M13" s="9">
        <f t="shared" si="5"/>
        <v>810</v>
      </c>
      <c r="N13" s="9">
        <f t="shared" si="6"/>
        <v>810</v>
      </c>
    </row>
    <row r="14" spans="1:15" ht="12.75">
      <c r="A14" s="8">
        <v>5</v>
      </c>
      <c r="B14" s="19" t="s">
        <v>477</v>
      </c>
      <c r="C14" s="9">
        <f>'AT-3'!G13</f>
        <v>925</v>
      </c>
      <c r="D14" s="9">
        <v>490</v>
      </c>
      <c r="E14" s="9">
        <v>398</v>
      </c>
      <c r="F14" s="9">
        <v>24</v>
      </c>
      <c r="G14" s="382">
        <v>0</v>
      </c>
      <c r="H14" s="382">
        <f t="shared" si="0"/>
        <v>13</v>
      </c>
      <c r="I14" s="9">
        <f t="shared" si="1"/>
        <v>925</v>
      </c>
      <c r="J14" s="9">
        <f t="shared" si="2"/>
        <v>925</v>
      </c>
      <c r="K14" s="9">
        <f t="shared" si="3"/>
        <v>925</v>
      </c>
      <c r="L14" s="9">
        <f t="shared" si="4"/>
        <v>925</v>
      </c>
      <c r="M14" s="9">
        <f t="shared" si="5"/>
        <v>925</v>
      </c>
      <c r="N14" s="9">
        <f t="shared" si="6"/>
        <v>925</v>
      </c>
      <c r="O14" s="16"/>
    </row>
    <row r="15" spans="1:15" ht="12.75">
      <c r="A15" s="8">
        <v>6</v>
      </c>
      <c r="B15" s="19" t="s">
        <v>478</v>
      </c>
      <c r="C15" s="9">
        <f>'AT-3'!G14</f>
        <v>470</v>
      </c>
      <c r="D15" s="9">
        <v>32</v>
      </c>
      <c r="E15" s="9">
        <v>235</v>
      </c>
      <c r="F15" s="9">
        <v>175</v>
      </c>
      <c r="G15" s="382">
        <v>0</v>
      </c>
      <c r="H15" s="382">
        <f t="shared" si="0"/>
        <v>28</v>
      </c>
      <c r="I15" s="9">
        <f t="shared" si="1"/>
        <v>470</v>
      </c>
      <c r="J15" s="9">
        <f t="shared" si="2"/>
        <v>470</v>
      </c>
      <c r="K15" s="9">
        <f t="shared" si="3"/>
        <v>470</v>
      </c>
      <c r="L15" s="9">
        <f t="shared" si="4"/>
        <v>470</v>
      </c>
      <c r="M15" s="9">
        <f t="shared" si="5"/>
        <v>470</v>
      </c>
      <c r="N15" s="9">
        <f t="shared" si="6"/>
        <v>470</v>
      </c>
      <c r="O15" s="16"/>
    </row>
    <row r="16" spans="1:15" ht="12.75">
      <c r="A16" s="8">
        <v>7</v>
      </c>
      <c r="B16" s="19" t="s">
        <v>479</v>
      </c>
      <c r="C16" s="9">
        <f>'AT-3'!G15</f>
        <v>719</v>
      </c>
      <c r="D16" s="9">
        <v>69</v>
      </c>
      <c r="E16" s="9">
        <v>360</v>
      </c>
      <c r="F16" s="9">
        <v>212</v>
      </c>
      <c r="G16" s="382">
        <v>0</v>
      </c>
      <c r="H16" s="382">
        <f t="shared" si="0"/>
        <v>78</v>
      </c>
      <c r="I16" s="9">
        <f t="shared" si="1"/>
        <v>719</v>
      </c>
      <c r="J16" s="9">
        <f t="shared" si="2"/>
        <v>719</v>
      </c>
      <c r="K16" s="9">
        <f t="shared" si="3"/>
        <v>719</v>
      </c>
      <c r="L16" s="9">
        <f t="shared" si="4"/>
        <v>719</v>
      </c>
      <c r="M16" s="9">
        <f t="shared" si="5"/>
        <v>719</v>
      </c>
      <c r="N16" s="9">
        <f t="shared" si="6"/>
        <v>719</v>
      </c>
      <c r="O16" s="16"/>
    </row>
    <row r="17" spans="1:15" ht="12.75">
      <c r="A17" s="8">
        <v>8</v>
      </c>
      <c r="B17" s="19" t="s">
        <v>480</v>
      </c>
      <c r="C17" s="9">
        <f>'AT-3'!G16</f>
        <v>1140</v>
      </c>
      <c r="D17" s="9">
        <v>52</v>
      </c>
      <c r="E17" s="9">
        <v>570</v>
      </c>
      <c r="F17" s="9">
        <v>447</v>
      </c>
      <c r="G17" s="382">
        <v>0</v>
      </c>
      <c r="H17" s="382">
        <f t="shared" si="0"/>
        <v>71</v>
      </c>
      <c r="I17" s="9">
        <f t="shared" si="1"/>
        <v>1140</v>
      </c>
      <c r="J17" s="9">
        <f t="shared" si="2"/>
        <v>1140</v>
      </c>
      <c r="K17" s="9">
        <f t="shared" si="3"/>
        <v>1140</v>
      </c>
      <c r="L17" s="9">
        <f t="shared" si="4"/>
        <v>1140</v>
      </c>
      <c r="M17" s="9">
        <f t="shared" si="5"/>
        <v>1140</v>
      </c>
      <c r="N17" s="9">
        <f t="shared" si="6"/>
        <v>1140</v>
      </c>
      <c r="O17" s="16"/>
    </row>
    <row r="18" spans="1:14" ht="12.75">
      <c r="A18" s="3"/>
      <c r="B18" s="27" t="s">
        <v>481</v>
      </c>
      <c r="C18" s="9">
        <f aca="true" t="shared" si="7" ref="C18:N18">SUM(C10:C17)</f>
        <v>6524</v>
      </c>
      <c r="D18" s="9">
        <f t="shared" si="7"/>
        <v>1633</v>
      </c>
      <c r="E18" s="9">
        <f t="shared" si="7"/>
        <v>2941</v>
      </c>
      <c r="F18" s="9">
        <f t="shared" si="7"/>
        <v>1561</v>
      </c>
      <c r="G18" s="9">
        <f t="shared" si="7"/>
        <v>0</v>
      </c>
      <c r="H18" s="9">
        <f t="shared" si="7"/>
        <v>389</v>
      </c>
      <c r="I18" s="9">
        <f t="shared" si="7"/>
        <v>6524</v>
      </c>
      <c r="J18" s="9">
        <f t="shared" si="7"/>
        <v>6524</v>
      </c>
      <c r="K18" s="9">
        <f t="shared" si="7"/>
        <v>6524</v>
      </c>
      <c r="L18" s="9">
        <f t="shared" si="7"/>
        <v>6524</v>
      </c>
      <c r="M18" s="9">
        <f t="shared" si="7"/>
        <v>6524</v>
      </c>
      <c r="N18" s="9">
        <f t="shared" si="7"/>
        <v>6524</v>
      </c>
    </row>
    <row r="19" spans="1:14" ht="10.5" customHeight="1">
      <c r="A19" s="12"/>
      <c r="B19" s="2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10.5" customHeight="1">
      <c r="A20" s="12"/>
      <c r="B20" s="28"/>
      <c r="C20" s="13"/>
      <c r="D20" s="13"/>
      <c r="E20" s="13"/>
      <c r="F20" s="13"/>
      <c r="G20" s="465"/>
      <c r="H20" s="13"/>
      <c r="I20" s="21" t="s">
        <v>11</v>
      </c>
      <c r="J20" s="13"/>
      <c r="K20" s="13"/>
      <c r="L20" s="13"/>
      <c r="M20" s="13"/>
      <c r="N20" s="13"/>
    </row>
    <row r="21" spans="1:14" ht="12.75">
      <c r="A21" s="12"/>
      <c r="B21" s="28"/>
      <c r="C21" s="13"/>
      <c r="D21" s="13"/>
      <c r="E21" s="13"/>
      <c r="F21" s="13"/>
      <c r="G21" s="465"/>
      <c r="H21" s="13"/>
      <c r="I21" s="13"/>
      <c r="J21" s="13"/>
      <c r="K21" s="13"/>
      <c r="L21" s="13"/>
      <c r="M21" s="13"/>
      <c r="N21" s="13"/>
    </row>
    <row r="22" spans="1:13" ht="12.75" customHeight="1">
      <c r="A22" s="188"/>
      <c r="B22" s="188"/>
      <c r="C22" s="188"/>
      <c r="D22" s="13"/>
      <c r="E22" s="13"/>
      <c r="F22" s="13"/>
      <c r="G22" s="465"/>
      <c r="H22" s="201"/>
      <c r="I22" s="201"/>
      <c r="J22" s="201"/>
      <c r="K22" s="201"/>
      <c r="L22" s="201"/>
      <c r="M22" s="201"/>
    </row>
    <row r="23" spans="1:14" ht="12.75" customHeight="1">
      <c r="A23" s="188"/>
      <c r="B23" s="188"/>
      <c r="C23" s="188"/>
      <c r="D23" s="13"/>
      <c r="E23" s="13"/>
      <c r="F23" s="13"/>
      <c r="G23" s="465"/>
      <c r="I23" s="201"/>
      <c r="J23" s="201"/>
      <c r="K23" s="764" t="s">
        <v>1062</v>
      </c>
      <c r="L23" s="764"/>
      <c r="M23" s="764"/>
      <c r="N23" s="764"/>
    </row>
    <row r="24" spans="1:14" ht="12.75" customHeight="1">
      <c r="A24" s="188"/>
      <c r="B24" s="188"/>
      <c r="C24" s="188"/>
      <c r="D24" s="13"/>
      <c r="E24" s="13"/>
      <c r="F24" s="13"/>
      <c r="G24" s="465"/>
      <c r="I24" s="201"/>
      <c r="J24" s="201"/>
      <c r="K24" s="764" t="s">
        <v>485</v>
      </c>
      <c r="L24" s="764"/>
      <c r="M24" s="764"/>
      <c r="N24" s="764"/>
    </row>
    <row r="25" spans="1:11" ht="12.75">
      <c r="A25" s="188" t="s">
        <v>12</v>
      </c>
      <c r="C25" s="188"/>
      <c r="D25" s="13"/>
      <c r="E25" s="13"/>
      <c r="F25" s="13"/>
      <c r="G25" s="465"/>
      <c r="I25" s="190"/>
      <c r="J25" s="190"/>
      <c r="K25" s="190" t="s">
        <v>80</v>
      </c>
    </row>
    <row r="26" spans="4:7" ht="12.75">
      <c r="D26" s="13"/>
      <c r="E26" s="13"/>
      <c r="F26" s="13"/>
      <c r="G26" s="465"/>
    </row>
    <row r="27" spans="4:7" ht="12.75">
      <c r="D27" s="13"/>
      <c r="E27" s="13"/>
      <c r="F27" s="13"/>
      <c r="G27" s="465"/>
    </row>
    <row r="28" spans="4:7" ht="12.75">
      <c r="D28" s="347"/>
      <c r="E28" s="347"/>
      <c r="F28" s="347"/>
      <c r="G28" s="347"/>
    </row>
    <row r="29" spans="4:7" ht="12.75">
      <c r="D29" s="347"/>
      <c r="E29" s="347"/>
      <c r="F29" s="347"/>
      <c r="G29" s="347"/>
    </row>
    <row r="30" spans="4:7" ht="12.75">
      <c r="D30" s="347"/>
      <c r="E30" s="347"/>
      <c r="F30" s="347"/>
      <c r="G30" s="347"/>
    </row>
    <row r="31" spans="4:7" ht="12.75">
      <c r="D31" s="347"/>
      <c r="E31" s="347"/>
      <c r="F31" s="347"/>
      <c r="G31" s="347"/>
    </row>
    <row r="32" spans="4:7" ht="12.75">
      <c r="D32" s="347"/>
      <c r="E32" s="347"/>
      <c r="F32" s="347"/>
      <c r="G32" s="347"/>
    </row>
    <row r="33" spans="4:7" ht="12.75">
      <c r="D33" s="347"/>
      <c r="E33" s="347"/>
      <c r="F33" s="347"/>
      <c r="G33" s="347"/>
    </row>
    <row r="34" spans="4:7" ht="12.75">
      <c r="D34" s="347"/>
      <c r="E34" s="347"/>
      <c r="F34" s="347"/>
      <c r="G34" s="347"/>
    </row>
    <row r="35" spans="4:7" ht="12.75">
      <c r="D35" s="347"/>
      <c r="E35" s="347"/>
      <c r="F35" s="347"/>
      <c r="G35" s="347"/>
    </row>
    <row r="36" spans="8:10" ht="12.75">
      <c r="H36" s="16"/>
      <c r="I36" s="16"/>
      <c r="J36" s="16"/>
    </row>
  </sheetData>
  <sheetProtection/>
  <mergeCells count="13">
    <mergeCell ref="A2:N2"/>
    <mergeCell ref="D7:H7"/>
    <mergeCell ref="C7:C8"/>
    <mergeCell ref="A7:A8"/>
    <mergeCell ref="B7:B8"/>
    <mergeCell ref="A5:N5"/>
    <mergeCell ref="A3:N3"/>
    <mergeCell ref="K7:N7"/>
    <mergeCell ref="K6:N6"/>
    <mergeCell ref="I7:I8"/>
    <mergeCell ref="J7:J8"/>
    <mergeCell ref="K23:N23"/>
    <mergeCell ref="K24:N24"/>
  </mergeCells>
  <printOptions horizontalCentered="1"/>
  <pageMargins left="0.7086614173228347" right="0.19" top="1.09" bottom="0" header="0.75" footer="0.31496062992125984"/>
  <pageSetup fitToHeight="1" fitToWidth="1" horizontalDpi="600" verticalDpi="600" orientation="landscape" paperSize="9" scale="92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8.28125" style="0" customWidth="1"/>
    <col min="2" max="2" width="36.28125" style="0" customWidth="1"/>
    <col min="3" max="3" width="13.00390625" style="0" customWidth="1"/>
    <col min="4" max="6" width="15.57421875" style="0" customWidth="1"/>
    <col min="7" max="7" width="16.140625" style="0" customWidth="1"/>
    <col min="8" max="8" width="15.00390625" style="0" customWidth="1"/>
  </cols>
  <sheetData>
    <row r="1" spans="1:8" ht="18">
      <c r="A1" s="760" t="s">
        <v>0</v>
      </c>
      <c r="B1" s="760"/>
      <c r="C1" s="760"/>
      <c r="D1" s="760"/>
      <c r="E1" s="760"/>
      <c r="F1" s="760"/>
      <c r="G1" s="760"/>
      <c r="H1" s="216" t="s">
        <v>712</v>
      </c>
    </row>
    <row r="2" spans="1:7" ht="21">
      <c r="A2" s="761" t="s">
        <v>878</v>
      </c>
      <c r="B2" s="761"/>
      <c r="C2" s="761"/>
      <c r="D2" s="761"/>
      <c r="E2" s="761"/>
      <c r="F2" s="761"/>
      <c r="G2" s="761"/>
    </row>
    <row r="3" spans="1:7" ht="15">
      <c r="A3" s="183"/>
      <c r="B3" s="183"/>
      <c r="C3" s="183"/>
      <c r="D3" s="183"/>
      <c r="E3" s="183"/>
      <c r="F3" s="183"/>
      <c r="G3" s="183"/>
    </row>
    <row r="4" spans="1:7" ht="26.25" customHeight="1">
      <c r="A4" s="760" t="s">
        <v>713</v>
      </c>
      <c r="B4" s="760"/>
      <c r="C4" s="760"/>
      <c r="D4" s="760"/>
      <c r="E4" s="760"/>
      <c r="F4" s="760"/>
      <c r="G4" s="760"/>
    </row>
    <row r="5" spans="1:7" ht="21.75" customHeight="1">
      <c r="A5" s="395"/>
      <c r="B5" s="395"/>
      <c r="C5" s="395"/>
      <c r="D5" s="395"/>
      <c r="E5" s="395"/>
      <c r="F5" s="395"/>
      <c r="G5" s="395"/>
    </row>
    <row r="6" spans="1:7" ht="15">
      <c r="A6" s="184" t="s">
        <v>482</v>
      </c>
      <c r="B6" s="184"/>
      <c r="C6" s="184"/>
      <c r="D6" s="184"/>
      <c r="E6" s="184"/>
      <c r="F6" s="184"/>
      <c r="G6" s="184" t="s">
        <v>931</v>
      </c>
    </row>
    <row r="7" spans="1:8" ht="21.75" customHeight="1">
      <c r="A7" s="870" t="s">
        <v>2</v>
      </c>
      <c r="B7" s="870" t="s">
        <v>642</v>
      </c>
      <c r="C7" s="674" t="s">
        <v>34</v>
      </c>
      <c r="D7" s="674" t="s">
        <v>643</v>
      </c>
      <c r="E7" s="674"/>
      <c r="F7" s="775" t="s">
        <v>644</v>
      </c>
      <c r="G7" s="775"/>
      <c r="H7" s="870" t="s">
        <v>222</v>
      </c>
    </row>
    <row r="8" spans="1:8" ht="25.5" customHeight="1">
      <c r="A8" s="871"/>
      <c r="B8" s="871"/>
      <c r="C8" s="674"/>
      <c r="D8" s="257" t="s">
        <v>645</v>
      </c>
      <c r="E8" s="257" t="s">
        <v>646</v>
      </c>
      <c r="F8" s="158" t="s">
        <v>647</v>
      </c>
      <c r="G8" s="257" t="s">
        <v>648</v>
      </c>
      <c r="H8" s="871"/>
    </row>
    <row r="9" spans="1:8" ht="15">
      <c r="A9" s="185" t="s">
        <v>260</v>
      </c>
      <c r="B9" s="185" t="s">
        <v>261</v>
      </c>
      <c r="C9" s="185" t="s">
        <v>262</v>
      </c>
      <c r="D9" s="185" t="s">
        <v>263</v>
      </c>
      <c r="E9" s="185" t="s">
        <v>264</v>
      </c>
      <c r="F9" s="185" t="s">
        <v>265</v>
      </c>
      <c r="G9" s="185" t="s">
        <v>266</v>
      </c>
      <c r="H9" s="185">
        <v>8</v>
      </c>
    </row>
    <row r="10" spans="1:8" ht="15">
      <c r="A10" s="427">
        <v>1</v>
      </c>
      <c r="B10" s="894" t="s">
        <v>874</v>
      </c>
      <c r="C10" s="19" t="s">
        <v>473</v>
      </c>
      <c r="D10" s="597">
        <v>0</v>
      </c>
      <c r="E10" s="597">
        <v>0</v>
      </c>
      <c r="F10" s="596" t="s">
        <v>509</v>
      </c>
      <c r="G10" s="596" t="s">
        <v>509</v>
      </c>
      <c r="H10" s="894" t="s">
        <v>875</v>
      </c>
    </row>
    <row r="11" spans="1:8" ht="15" customHeight="1">
      <c r="A11" s="427">
        <v>2</v>
      </c>
      <c r="B11" s="895"/>
      <c r="C11" s="19" t="s">
        <v>474</v>
      </c>
      <c r="D11" s="597">
        <v>0</v>
      </c>
      <c r="E11" s="597">
        <v>0</v>
      </c>
      <c r="F11" s="596" t="s">
        <v>509</v>
      </c>
      <c r="G11" s="596" t="s">
        <v>509</v>
      </c>
      <c r="H11" s="895"/>
    </row>
    <row r="12" spans="1:8" ht="15" customHeight="1">
      <c r="A12" s="427">
        <v>3</v>
      </c>
      <c r="B12" s="895"/>
      <c r="C12" s="19" t="s">
        <v>475</v>
      </c>
      <c r="D12" s="597">
        <v>0</v>
      </c>
      <c r="E12" s="597">
        <v>0</v>
      </c>
      <c r="F12" s="596" t="s">
        <v>509</v>
      </c>
      <c r="G12" s="596" t="s">
        <v>509</v>
      </c>
      <c r="H12" s="895"/>
    </row>
    <row r="13" spans="1:8" ht="15" customHeight="1">
      <c r="A13" s="427">
        <v>4</v>
      </c>
      <c r="B13" s="895"/>
      <c r="C13" s="19" t="s">
        <v>476</v>
      </c>
      <c r="D13" s="597">
        <v>5</v>
      </c>
      <c r="E13" s="597">
        <v>5</v>
      </c>
      <c r="F13" s="596">
        <v>5</v>
      </c>
      <c r="G13" s="596" t="s">
        <v>509</v>
      </c>
      <c r="H13" s="895"/>
    </row>
    <row r="14" spans="1:8" ht="15">
      <c r="A14" s="427">
        <v>5</v>
      </c>
      <c r="B14" s="895"/>
      <c r="C14" s="19" t="s">
        <v>477</v>
      </c>
      <c r="D14" s="597">
        <v>5</v>
      </c>
      <c r="E14" s="597">
        <v>5</v>
      </c>
      <c r="F14" s="596">
        <v>5</v>
      </c>
      <c r="G14" s="596" t="s">
        <v>509</v>
      </c>
      <c r="H14" s="895"/>
    </row>
    <row r="15" spans="1:8" ht="15">
      <c r="A15" s="427">
        <v>6</v>
      </c>
      <c r="B15" s="895"/>
      <c r="C15" s="19" t="s">
        <v>478</v>
      </c>
      <c r="D15" s="597">
        <v>0</v>
      </c>
      <c r="E15" s="597">
        <v>0</v>
      </c>
      <c r="F15" s="596" t="s">
        <v>509</v>
      </c>
      <c r="G15" s="596" t="s">
        <v>509</v>
      </c>
      <c r="H15" s="895"/>
    </row>
    <row r="16" spans="1:8" ht="15">
      <c r="A16" s="427">
        <v>7</v>
      </c>
      <c r="B16" s="895"/>
      <c r="C16" s="19" t="s">
        <v>479</v>
      </c>
      <c r="D16" s="597">
        <v>0</v>
      </c>
      <c r="E16" s="597">
        <v>0</v>
      </c>
      <c r="F16" s="596" t="s">
        <v>509</v>
      </c>
      <c r="G16" s="596" t="s">
        <v>509</v>
      </c>
      <c r="H16" s="895"/>
    </row>
    <row r="17" spans="1:8" ht="15">
      <c r="A17" s="427">
        <v>8</v>
      </c>
      <c r="B17" s="896"/>
      <c r="C17" s="19" t="s">
        <v>480</v>
      </c>
      <c r="D17" s="597">
        <v>0</v>
      </c>
      <c r="E17" s="597">
        <v>0</v>
      </c>
      <c r="F17" s="596" t="s">
        <v>509</v>
      </c>
      <c r="G17" s="596" t="s">
        <v>509</v>
      </c>
      <c r="H17" s="896"/>
    </row>
    <row r="18" spans="1:8" ht="12.75">
      <c r="A18" s="27" t="s">
        <v>16</v>
      </c>
      <c r="B18" s="9"/>
      <c r="C18" s="3"/>
      <c r="D18" s="3">
        <f>SUM(D10:D17)</f>
        <v>10</v>
      </c>
      <c r="E18" s="3">
        <f>SUM(E10:E17)</f>
        <v>10</v>
      </c>
      <c r="F18" s="3">
        <f>SUM(F10:F17)</f>
        <v>10</v>
      </c>
      <c r="G18" s="3">
        <f>SUM(G10:G17)</f>
        <v>0</v>
      </c>
      <c r="H18" s="9"/>
    </row>
    <row r="21" spans="1:9" ht="12.75" customHeight="1">
      <c r="A21" s="188"/>
      <c r="B21" s="188"/>
      <c r="C21" s="188"/>
      <c r="D21" s="188"/>
      <c r="F21" s="764"/>
      <c r="G21" s="764"/>
      <c r="H21" s="764"/>
      <c r="I21" s="764"/>
    </row>
    <row r="22" spans="1:9" ht="12.75" customHeight="1">
      <c r="A22" s="188"/>
      <c r="B22" s="188"/>
      <c r="C22" s="188"/>
      <c r="D22" s="188"/>
      <c r="F22" s="764" t="s">
        <v>1062</v>
      </c>
      <c r="G22" s="764"/>
      <c r="H22" s="764"/>
      <c r="I22" s="764"/>
    </row>
    <row r="23" spans="1:9" ht="12.75" customHeight="1">
      <c r="A23" s="188"/>
      <c r="B23" s="188"/>
      <c r="C23" s="188"/>
      <c r="D23" s="188"/>
      <c r="F23" s="764" t="s">
        <v>484</v>
      </c>
      <c r="G23" s="764"/>
      <c r="H23" s="764"/>
      <c r="I23" s="764"/>
    </row>
    <row r="24" spans="1:6" ht="12.75">
      <c r="A24" s="188" t="s">
        <v>12</v>
      </c>
      <c r="C24" s="188"/>
      <c r="D24" s="188"/>
      <c r="F24" s="190" t="s">
        <v>80</v>
      </c>
    </row>
    <row r="27" ht="12.75">
      <c r="D27" t="s">
        <v>11</v>
      </c>
    </row>
  </sheetData>
  <sheetProtection/>
  <mergeCells count="14">
    <mergeCell ref="C7:C8"/>
    <mergeCell ref="D7:E7"/>
    <mergeCell ref="B10:B17"/>
    <mergeCell ref="H10:H17"/>
    <mergeCell ref="F7:G7"/>
    <mergeCell ref="H7:H8"/>
    <mergeCell ref="F21:I21"/>
    <mergeCell ref="F22:I22"/>
    <mergeCell ref="F23:I23"/>
    <mergeCell ref="A1:G1"/>
    <mergeCell ref="A2:G2"/>
    <mergeCell ref="A4:G4"/>
    <mergeCell ref="A7:A8"/>
    <mergeCell ref="B7:B8"/>
  </mergeCells>
  <printOptions/>
  <pageMargins left="0.7" right="0.28" top="1.21" bottom="0.75" header="0.3" footer="0.3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view="pageBreakPreview" zoomScale="90" zoomScaleSheetLayoutView="90" zoomScalePageLayoutView="0" workbookViewId="0" topLeftCell="A1">
      <selection activeCell="E11" sqref="E11:I13"/>
    </sheetView>
  </sheetViews>
  <sheetFormatPr defaultColWidth="9.140625" defaultRowHeight="12.75"/>
  <cols>
    <col min="1" max="1" width="6.421875" style="0" customWidth="1"/>
    <col min="2" max="2" width="15.421875" style="0" customWidth="1"/>
    <col min="3" max="3" width="15.28125" style="0" customWidth="1"/>
    <col min="4" max="5" width="15.421875" style="0" customWidth="1"/>
    <col min="6" max="9" width="15.7109375" style="0" customWidth="1"/>
    <col min="10" max="10" width="15.421875" style="0" customWidth="1"/>
    <col min="11" max="11" width="20.00390625" style="0" customWidth="1"/>
    <col min="12" max="12" width="14.7109375" style="0" customWidth="1"/>
  </cols>
  <sheetData>
    <row r="1" spans="1:12" ht="18">
      <c r="A1" s="760" t="s">
        <v>552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216" t="s">
        <v>714</v>
      </c>
    </row>
    <row r="2" spans="1:12" ht="21">
      <c r="A2" s="761" t="s">
        <v>878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</row>
    <row r="3" spans="1:11" ht="15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2" ht="18">
      <c r="A4" s="760" t="s">
        <v>715</v>
      </c>
      <c r="B4" s="760"/>
      <c r="C4" s="760"/>
      <c r="D4" s="760"/>
      <c r="E4" s="760"/>
      <c r="F4" s="760"/>
      <c r="G4" s="760"/>
      <c r="H4" s="760"/>
      <c r="I4" s="760"/>
      <c r="J4" s="760"/>
      <c r="K4" s="760"/>
      <c r="L4" s="760"/>
    </row>
    <row r="5" spans="1:11" ht="15">
      <c r="A5" s="184" t="s">
        <v>482</v>
      </c>
      <c r="B5" s="184"/>
      <c r="C5" s="184"/>
      <c r="D5" s="184"/>
      <c r="E5" s="184"/>
      <c r="F5" s="184"/>
      <c r="G5" s="184"/>
      <c r="H5" s="184"/>
      <c r="I5" s="184"/>
      <c r="J5" s="184"/>
      <c r="K5" s="184" t="s">
        <v>931</v>
      </c>
    </row>
    <row r="6" spans="1:12" s="260" customFormat="1" ht="21.75" customHeight="1">
      <c r="A6" s="870" t="s">
        <v>2</v>
      </c>
      <c r="B6" s="870" t="s">
        <v>34</v>
      </c>
      <c r="C6" s="664" t="s">
        <v>463</v>
      </c>
      <c r="D6" s="775"/>
      <c r="E6" s="665"/>
      <c r="F6" s="664" t="s">
        <v>469</v>
      </c>
      <c r="G6" s="775"/>
      <c r="H6" s="775"/>
      <c r="I6" s="665"/>
      <c r="J6" s="674" t="s">
        <v>471</v>
      </c>
      <c r="K6" s="674"/>
      <c r="L6" s="674"/>
    </row>
    <row r="7" spans="1:12" s="260" customFormat="1" ht="29.25" customHeight="1">
      <c r="A7" s="871"/>
      <c r="B7" s="871"/>
      <c r="C7" s="357" t="s">
        <v>212</v>
      </c>
      <c r="D7" s="357" t="s">
        <v>465</v>
      </c>
      <c r="E7" s="357" t="s">
        <v>470</v>
      </c>
      <c r="F7" s="357" t="s">
        <v>212</v>
      </c>
      <c r="G7" s="357" t="s">
        <v>464</v>
      </c>
      <c r="H7" s="357" t="s">
        <v>466</v>
      </c>
      <c r="I7" s="357" t="s">
        <v>470</v>
      </c>
      <c r="J7" s="257" t="s">
        <v>467</v>
      </c>
      <c r="K7" s="257" t="s">
        <v>468</v>
      </c>
      <c r="L7" s="357" t="s">
        <v>470</v>
      </c>
    </row>
    <row r="8" spans="1:12" ht="15">
      <c r="A8" s="185" t="s">
        <v>260</v>
      </c>
      <c r="B8" s="185" t="s">
        <v>261</v>
      </c>
      <c r="C8" s="185" t="s">
        <v>262</v>
      </c>
      <c r="D8" s="185" t="s">
        <v>263</v>
      </c>
      <c r="E8" s="185" t="s">
        <v>264</v>
      </c>
      <c r="F8" s="185" t="s">
        <v>265</v>
      </c>
      <c r="G8" s="185" t="s">
        <v>266</v>
      </c>
      <c r="H8" s="185" t="s">
        <v>267</v>
      </c>
      <c r="I8" s="185" t="s">
        <v>286</v>
      </c>
      <c r="J8" s="185" t="s">
        <v>287</v>
      </c>
      <c r="K8" s="185" t="s">
        <v>288</v>
      </c>
      <c r="L8" s="185" t="s">
        <v>315</v>
      </c>
    </row>
    <row r="9" spans="1:14" ht="12.75">
      <c r="A9" s="8">
        <v>1</v>
      </c>
      <c r="B9" s="19" t="s">
        <v>473</v>
      </c>
      <c r="C9" s="9"/>
      <c r="D9" s="9"/>
      <c r="E9" s="9"/>
      <c r="F9" s="9"/>
      <c r="G9" s="9"/>
      <c r="H9" s="9"/>
      <c r="I9" s="9"/>
      <c r="J9" s="9"/>
      <c r="K9" s="9"/>
      <c r="L9" s="9"/>
      <c r="N9" t="s">
        <v>11</v>
      </c>
    </row>
    <row r="10" spans="1:12" ht="12.75">
      <c r="A10" s="8">
        <v>2</v>
      </c>
      <c r="B10" s="19" t="s">
        <v>474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2.75">
      <c r="A11" s="8">
        <v>3</v>
      </c>
      <c r="B11" s="19" t="s">
        <v>475</v>
      </c>
      <c r="C11" s="9"/>
      <c r="D11" s="9"/>
      <c r="E11" s="897" t="s">
        <v>509</v>
      </c>
      <c r="F11" s="898"/>
      <c r="G11" s="898"/>
      <c r="H11" s="898"/>
      <c r="I11" s="899"/>
      <c r="J11" s="9"/>
      <c r="K11" s="9"/>
      <c r="L11" s="9"/>
    </row>
    <row r="12" spans="1:12" ht="12.75">
      <c r="A12" s="8">
        <v>4</v>
      </c>
      <c r="B12" s="19" t="s">
        <v>476</v>
      </c>
      <c r="C12" s="9"/>
      <c r="D12" s="9"/>
      <c r="E12" s="900"/>
      <c r="F12" s="901"/>
      <c r="G12" s="901"/>
      <c r="H12" s="901"/>
      <c r="I12" s="902"/>
      <c r="J12" s="9"/>
      <c r="K12" s="9"/>
      <c r="L12" s="9"/>
    </row>
    <row r="13" spans="1:12" ht="12.75">
      <c r="A13" s="8">
        <v>5</v>
      </c>
      <c r="B13" s="19" t="s">
        <v>477</v>
      </c>
      <c r="C13" s="9"/>
      <c r="D13" s="9"/>
      <c r="E13" s="903"/>
      <c r="F13" s="904"/>
      <c r="G13" s="904"/>
      <c r="H13" s="904"/>
      <c r="I13" s="905"/>
      <c r="J13" s="9"/>
      <c r="K13" s="9"/>
      <c r="L13" s="19" t="s">
        <v>400</v>
      </c>
    </row>
    <row r="14" spans="1:12" ht="12.75">
      <c r="A14" s="8">
        <v>6</v>
      </c>
      <c r="B14" s="19" t="s">
        <v>478</v>
      </c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2.75">
      <c r="A15" s="8">
        <v>7</v>
      </c>
      <c r="B15" s="19" t="s">
        <v>479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2.75">
      <c r="A16" s="8">
        <v>8</v>
      </c>
      <c r="B16" s="19" t="s">
        <v>480</v>
      </c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2.75">
      <c r="A17" s="3"/>
      <c r="B17" s="27" t="s">
        <v>481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20" spans="1:11" ht="12.75" customHeight="1">
      <c r="A20" s="188"/>
      <c r="B20" s="188"/>
      <c r="C20" s="188"/>
      <c r="D20" s="188"/>
      <c r="E20" s="188"/>
      <c r="F20" s="188"/>
      <c r="K20" s="189"/>
    </row>
    <row r="21" spans="1:12" ht="12.75" customHeight="1">
      <c r="A21" s="188"/>
      <c r="B21" s="188"/>
      <c r="C21" s="188"/>
      <c r="D21" s="188"/>
      <c r="E21" s="188"/>
      <c r="F21" s="188"/>
      <c r="J21" s="764" t="s">
        <v>1062</v>
      </c>
      <c r="K21" s="764"/>
      <c r="L21" s="764"/>
    </row>
    <row r="22" spans="1:12" ht="12.75" customHeight="1">
      <c r="A22" s="188"/>
      <c r="B22" s="188"/>
      <c r="C22" s="188"/>
      <c r="D22" s="188"/>
      <c r="E22" s="188"/>
      <c r="F22" s="188"/>
      <c r="J22" s="676" t="s">
        <v>485</v>
      </c>
      <c r="K22" s="676"/>
      <c r="L22" s="676"/>
    </row>
    <row r="23" spans="1:10" ht="12.75">
      <c r="A23" s="188" t="s">
        <v>12</v>
      </c>
      <c r="F23" s="188"/>
      <c r="J23" s="15" t="s">
        <v>551</v>
      </c>
    </row>
  </sheetData>
  <sheetProtection/>
  <mergeCells count="11">
    <mergeCell ref="A1:K1"/>
    <mergeCell ref="C6:E6"/>
    <mergeCell ref="F6:I6"/>
    <mergeCell ref="J6:L6"/>
    <mergeCell ref="J21:L21"/>
    <mergeCell ref="A6:A7"/>
    <mergeCell ref="B6:B7"/>
    <mergeCell ref="A2:L2"/>
    <mergeCell ref="A4:L4"/>
    <mergeCell ref="J22:L22"/>
    <mergeCell ref="E11:I13"/>
  </mergeCells>
  <printOptions horizontalCentered="1"/>
  <pageMargins left="0.61" right="0.22" top="1.46" bottom="0" header="0.31496062992125984" footer="0.31496062992125984"/>
  <pageSetup fitToHeight="1" fitToWidth="1" horizontalDpi="600" verticalDpi="600" orientation="landscape" paperSize="9" scale="78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4">
      <selection activeCell="I25" sqref="I25:K25"/>
    </sheetView>
  </sheetViews>
  <sheetFormatPr defaultColWidth="9.140625" defaultRowHeight="12.75"/>
  <cols>
    <col min="1" max="1" width="7.7109375" style="0" customWidth="1"/>
    <col min="2" max="2" width="12.00390625" style="0" customWidth="1"/>
    <col min="3" max="3" width="11.140625" style="0" customWidth="1"/>
    <col min="4" max="7" width="13.57421875" style="0" customWidth="1"/>
    <col min="8" max="8" width="12.8515625" style="0" customWidth="1"/>
    <col min="9" max="9" width="14.421875" style="0" customWidth="1"/>
    <col min="10" max="10" width="15.00390625" style="0" customWidth="1"/>
    <col min="11" max="11" width="13.7109375" style="0" customWidth="1"/>
  </cols>
  <sheetData>
    <row r="1" ht="12.75">
      <c r="K1" s="216" t="s">
        <v>716</v>
      </c>
    </row>
    <row r="2" spans="1:11" ht="18">
      <c r="A2" s="760" t="s">
        <v>0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</row>
    <row r="3" spans="1:11" ht="21">
      <c r="A3" s="761" t="s">
        <v>878</v>
      </c>
      <c r="B3" s="761"/>
      <c r="C3" s="761"/>
      <c r="D3" s="761"/>
      <c r="E3" s="761"/>
      <c r="F3" s="761"/>
      <c r="G3" s="761"/>
      <c r="H3" s="761"/>
      <c r="I3" s="761"/>
      <c r="J3" s="761"/>
      <c r="K3" s="761"/>
    </row>
    <row r="4" spans="1:10" ht="15">
      <c r="A4" s="183"/>
      <c r="B4" s="183"/>
      <c r="C4" s="183"/>
      <c r="D4" s="183"/>
      <c r="E4" s="183"/>
      <c r="F4" s="183"/>
      <c r="G4" s="183"/>
      <c r="H4" s="183"/>
      <c r="I4" s="183"/>
      <c r="J4" s="183"/>
    </row>
    <row r="5" spans="1:11" ht="18">
      <c r="A5" s="760" t="s">
        <v>717</v>
      </c>
      <c r="B5" s="760"/>
      <c r="C5" s="760"/>
      <c r="D5" s="760"/>
      <c r="E5" s="760"/>
      <c r="F5" s="760"/>
      <c r="G5" s="760"/>
      <c r="H5" s="760"/>
      <c r="I5" s="760"/>
      <c r="J5" s="760"/>
      <c r="K5" s="760"/>
    </row>
    <row r="6" spans="1:9" ht="15">
      <c r="A6" s="184" t="s">
        <v>482</v>
      </c>
      <c r="B6" s="184"/>
      <c r="C6" s="184"/>
      <c r="D6" s="184"/>
      <c r="E6" s="184"/>
      <c r="F6" s="184"/>
      <c r="I6" s="184"/>
    </row>
    <row r="7" spans="1:10" ht="15.75">
      <c r="A7" s="184"/>
      <c r="B7" s="184"/>
      <c r="C7" s="184"/>
      <c r="D7" s="184"/>
      <c r="E7" s="184"/>
      <c r="F7" s="184"/>
      <c r="I7" s="184"/>
      <c r="J7" s="564" t="s">
        <v>931</v>
      </c>
    </row>
    <row r="8" spans="1:11" ht="21.75" customHeight="1">
      <c r="A8" s="870" t="s">
        <v>2</v>
      </c>
      <c r="B8" s="870" t="s">
        <v>34</v>
      </c>
      <c r="C8" s="664" t="s">
        <v>649</v>
      </c>
      <c r="D8" s="775"/>
      <c r="E8" s="665"/>
      <c r="F8" s="664" t="s">
        <v>650</v>
      </c>
      <c r="G8" s="775"/>
      <c r="H8" s="665"/>
      <c r="I8" s="708" t="s">
        <v>798</v>
      </c>
      <c r="J8" s="708" t="s">
        <v>799</v>
      </c>
      <c r="K8" s="708" t="s">
        <v>74</v>
      </c>
    </row>
    <row r="9" spans="1:11" ht="26.25" customHeight="1">
      <c r="A9" s="871"/>
      <c r="B9" s="871"/>
      <c r="C9" s="257" t="s">
        <v>651</v>
      </c>
      <c r="D9" s="257" t="s">
        <v>652</v>
      </c>
      <c r="E9" s="257" t="s">
        <v>653</v>
      </c>
      <c r="F9" s="257" t="s">
        <v>651</v>
      </c>
      <c r="G9" s="257" t="s">
        <v>652</v>
      </c>
      <c r="H9" s="257" t="s">
        <v>653</v>
      </c>
      <c r="I9" s="710"/>
      <c r="J9" s="710"/>
      <c r="K9" s="710"/>
    </row>
    <row r="10" spans="1:11" ht="15">
      <c r="A10" s="428">
        <v>1</v>
      </c>
      <c r="B10" s="428">
        <v>2</v>
      </c>
      <c r="C10" s="528">
        <v>3</v>
      </c>
      <c r="D10" s="528">
        <v>4</v>
      </c>
      <c r="E10" s="528">
        <v>5</v>
      </c>
      <c r="F10" s="528">
        <v>6</v>
      </c>
      <c r="G10" s="528">
        <v>7</v>
      </c>
      <c r="H10" s="528">
        <v>8</v>
      </c>
      <c r="I10" s="528">
        <v>9</v>
      </c>
      <c r="J10" s="528">
        <v>10</v>
      </c>
      <c r="K10" s="528">
        <v>11</v>
      </c>
    </row>
    <row r="11" spans="1:11" ht="15">
      <c r="A11" s="8">
        <v>1</v>
      </c>
      <c r="B11" s="19" t="s">
        <v>473</v>
      </c>
      <c r="C11" s="5"/>
      <c r="D11" s="5"/>
      <c r="E11" s="5"/>
      <c r="F11" s="5"/>
      <c r="G11" s="5"/>
      <c r="H11" s="5"/>
      <c r="I11" s="5"/>
      <c r="J11" s="5"/>
      <c r="K11" s="185"/>
    </row>
    <row r="12" spans="1:11" ht="15" customHeight="1">
      <c r="A12" s="8">
        <v>2</v>
      </c>
      <c r="B12" s="19" t="s">
        <v>474</v>
      </c>
      <c r="C12" s="5"/>
      <c r="D12" s="906" t="s">
        <v>509</v>
      </c>
      <c r="E12" s="907"/>
      <c r="F12" s="907"/>
      <c r="G12" s="907"/>
      <c r="H12" s="907"/>
      <c r="I12" s="907"/>
      <c r="J12" s="908"/>
      <c r="K12" s="185"/>
    </row>
    <row r="13" spans="1:11" ht="15">
      <c r="A13" s="8">
        <v>3</v>
      </c>
      <c r="B13" s="19" t="s">
        <v>475</v>
      </c>
      <c r="C13" s="5"/>
      <c r="D13" s="909"/>
      <c r="E13" s="910"/>
      <c r="F13" s="910"/>
      <c r="G13" s="910"/>
      <c r="H13" s="910"/>
      <c r="I13" s="910"/>
      <c r="J13" s="911"/>
      <c r="K13" s="185"/>
    </row>
    <row r="14" spans="1:11" ht="15">
      <c r="A14" s="8">
        <v>4</v>
      </c>
      <c r="B14" s="19" t="s">
        <v>476</v>
      </c>
      <c r="C14" s="5"/>
      <c r="D14" s="909"/>
      <c r="E14" s="910"/>
      <c r="F14" s="910"/>
      <c r="G14" s="910"/>
      <c r="H14" s="910"/>
      <c r="I14" s="910"/>
      <c r="J14" s="911"/>
      <c r="K14" s="185"/>
    </row>
    <row r="15" spans="1:11" ht="15">
      <c r="A15" s="8">
        <v>5</v>
      </c>
      <c r="B15" s="19" t="s">
        <v>477</v>
      </c>
      <c r="C15" s="5"/>
      <c r="D15" s="912"/>
      <c r="E15" s="913"/>
      <c r="F15" s="913"/>
      <c r="G15" s="913"/>
      <c r="H15" s="913"/>
      <c r="I15" s="913"/>
      <c r="J15" s="914"/>
      <c r="K15" s="185"/>
    </row>
    <row r="16" spans="1:11" ht="15">
      <c r="A16" s="8">
        <v>6</v>
      </c>
      <c r="B16" s="19" t="s">
        <v>478</v>
      </c>
      <c r="C16" s="5"/>
      <c r="D16" s="5"/>
      <c r="E16" s="5"/>
      <c r="F16" s="5"/>
      <c r="G16" s="5"/>
      <c r="H16" s="5"/>
      <c r="I16" s="5"/>
      <c r="J16" s="5"/>
      <c r="K16" s="185"/>
    </row>
    <row r="17" spans="1:11" ht="15">
      <c r="A17" s="8">
        <v>7</v>
      </c>
      <c r="B17" s="19" t="s">
        <v>479</v>
      </c>
      <c r="C17" s="5"/>
      <c r="D17" s="5"/>
      <c r="E17" s="5"/>
      <c r="F17" s="5"/>
      <c r="G17" s="5"/>
      <c r="H17" s="5"/>
      <c r="I17" s="5"/>
      <c r="J17" s="5"/>
      <c r="K17" s="185"/>
    </row>
    <row r="18" spans="1:11" ht="15">
      <c r="A18" s="8">
        <v>8</v>
      </c>
      <c r="B18" s="19" t="s">
        <v>480</v>
      </c>
      <c r="C18" s="5"/>
      <c r="D18" s="5"/>
      <c r="E18" s="5"/>
      <c r="F18" s="5"/>
      <c r="G18" s="5"/>
      <c r="H18" s="5"/>
      <c r="I18" s="5"/>
      <c r="J18" s="5"/>
      <c r="K18" s="185"/>
    </row>
    <row r="19" spans="1:11" ht="12.75">
      <c r="A19" s="27" t="s">
        <v>16</v>
      </c>
      <c r="B19" s="9"/>
      <c r="C19" s="9">
        <f>SUM(C11:C18)</f>
        <v>0</v>
      </c>
      <c r="D19" s="9">
        <f aca="true" t="shared" si="0" ref="D19:K19">SUM(D11:D18)</f>
        <v>0</v>
      </c>
      <c r="E19" s="9">
        <f t="shared" si="0"/>
        <v>0</v>
      </c>
      <c r="F19" s="9">
        <f t="shared" si="0"/>
        <v>0</v>
      </c>
      <c r="G19" s="9">
        <f t="shared" si="0"/>
        <v>0</v>
      </c>
      <c r="H19" s="9">
        <f t="shared" si="0"/>
        <v>0</v>
      </c>
      <c r="I19" s="9"/>
      <c r="J19" s="9"/>
      <c r="K19" s="9">
        <f t="shared" si="0"/>
        <v>0</v>
      </c>
    </row>
    <row r="22" spans="1:6" ht="12.75" customHeight="1">
      <c r="A22" s="188"/>
      <c r="B22" s="188"/>
      <c r="C22" s="188"/>
      <c r="D22" s="188"/>
      <c r="E22" s="188"/>
      <c r="F22" s="188"/>
    </row>
    <row r="23" spans="1:11" ht="12.75" customHeight="1">
      <c r="A23" s="188" t="s">
        <v>12</v>
      </c>
      <c r="B23" s="188"/>
      <c r="C23" s="188"/>
      <c r="D23" s="188"/>
      <c r="E23" s="188"/>
      <c r="F23" s="188"/>
      <c r="H23" s="201"/>
      <c r="I23" s="764"/>
      <c r="J23" s="764"/>
      <c r="K23" s="201"/>
    </row>
    <row r="24" spans="1:11" ht="12.75" customHeight="1">
      <c r="A24" s="188"/>
      <c r="B24" s="188"/>
      <c r="C24" s="188"/>
      <c r="D24" s="188"/>
      <c r="E24" s="188"/>
      <c r="F24" s="188"/>
      <c r="H24" s="201"/>
      <c r="I24" s="764" t="s">
        <v>1062</v>
      </c>
      <c r="J24" s="764"/>
      <c r="K24" s="764"/>
    </row>
    <row r="25" spans="6:11" ht="12.75" customHeight="1">
      <c r="F25" s="188"/>
      <c r="H25" s="31"/>
      <c r="I25" s="676" t="s">
        <v>485</v>
      </c>
      <c r="J25" s="676"/>
      <c r="K25" s="676"/>
    </row>
    <row r="26" ht="12.75">
      <c r="I26" s="29" t="s">
        <v>80</v>
      </c>
    </row>
  </sheetData>
  <sheetProtection/>
  <mergeCells count="14">
    <mergeCell ref="I8:I9"/>
    <mergeCell ref="J8:J9"/>
    <mergeCell ref="A8:A9"/>
    <mergeCell ref="B8:B9"/>
    <mergeCell ref="C8:E8"/>
    <mergeCell ref="F8:H8"/>
    <mergeCell ref="I24:K24"/>
    <mergeCell ref="I25:K25"/>
    <mergeCell ref="A2:K2"/>
    <mergeCell ref="A3:K3"/>
    <mergeCell ref="A5:K5"/>
    <mergeCell ref="D12:J15"/>
    <mergeCell ref="K8:K9"/>
    <mergeCell ref="I23:J23"/>
  </mergeCells>
  <printOptions/>
  <pageMargins left="0.52" right="0.29" top="0.99" bottom="0.75" header="0.3" footer="0.3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view="pageBreakPreview" zoomScale="90" zoomScaleNormal="85" zoomScaleSheetLayoutView="90" zoomScalePageLayoutView="0" workbookViewId="0" topLeftCell="A1">
      <selection activeCell="J21" sqref="J21"/>
    </sheetView>
  </sheetViews>
  <sheetFormatPr defaultColWidth="9.140625" defaultRowHeight="12.75"/>
  <cols>
    <col min="1" max="1" width="4.57421875" style="0" customWidth="1"/>
    <col min="2" max="2" width="14.00390625" style="0" customWidth="1"/>
    <col min="3" max="4" width="12.7109375" style="0" customWidth="1"/>
    <col min="5" max="5" width="10.8515625" style="0" customWidth="1"/>
    <col min="6" max="6" width="13.421875" style="0" customWidth="1"/>
    <col min="7" max="7" width="11.8515625" style="0" customWidth="1"/>
    <col min="8" max="8" width="14.28125" style="0" customWidth="1"/>
    <col min="9" max="9" width="13.28125" style="0" customWidth="1"/>
    <col min="10" max="10" width="15.28125" style="0" customWidth="1"/>
    <col min="11" max="11" width="16.7109375" style="0" customWidth="1"/>
    <col min="12" max="12" width="15.57421875" style="0" customWidth="1"/>
  </cols>
  <sheetData>
    <row r="1" spans="1:12" ht="15">
      <c r="A1" s="89"/>
      <c r="B1" s="89"/>
      <c r="C1" s="89"/>
      <c r="D1" s="89"/>
      <c r="E1" s="89"/>
      <c r="F1" s="89"/>
      <c r="G1" s="89"/>
      <c r="H1" s="89"/>
      <c r="I1" s="89"/>
      <c r="K1" s="832" t="s">
        <v>83</v>
      </c>
      <c r="L1" s="832"/>
    </row>
    <row r="2" spans="1:12" ht="15.75">
      <c r="A2" s="731" t="s">
        <v>0</v>
      </c>
      <c r="B2" s="731"/>
      <c r="C2" s="731"/>
      <c r="D2" s="731"/>
      <c r="E2" s="731"/>
      <c r="F2" s="731"/>
      <c r="G2" s="731"/>
      <c r="H2" s="731"/>
      <c r="I2" s="731"/>
      <c r="J2" s="731"/>
      <c r="K2" s="731"/>
      <c r="L2" s="731"/>
    </row>
    <row r="3" spans="1:12" ht="20.25">
      <c r="A3" s="732" t="s">
        <v>878</v>
      </c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</row>
    <row r="4" spans="1:12" ht="12.7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5.75">
      <c r="A5" s="733" t="s">
        <v>916</v>
      </c>
      <c r="B5" s="733"/>
      <c r="C5" s="733"/>
      <c r="D5" s="733"/>
      <c r="E5" s="733"/>
      <c r="F5" s="733"/>
      <c r="G5" s="733"/>
      <c r="H5" s="733"/>
      <c r="I5" s="733"/>
      <c r="J5" s="733"/>
      <c r="K5" s="733"/>
      <c r="L5" s="733"/>
    </row>
    <row r="6" spans="1:12" ht="12.7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2.75">
      <c r="A7" s="668" t="s">
        <v>472</v>
      </c>
      <c r="B7" s="668"/>
      <c r="C7" s="89"/>
      <c r="D7" s="89"/>
      <c r="E7" s="89"/>
      <c r="F7" s="89"/>
      <c r="G7" s="89"/>
      <c r="H7" s="919"/>
      <c r="I7" s="919"/>
      <c r="J7" s="89"/>
      <c r="K7" s="89"/>
      <c r="L7" s="89"/>
    </row>
    <row r="8" spans="1:12" ht="18">
      <c r="A8" s="92"/>
      <c r="B8" s="92"/>
      <c r="C8" s="89"/>
      <c r="D8" s="89"/>
      <c r="E8" s="89"/>
      <c r="F8" s="89"/>
      <c r="G8" s="89"/>
      <c r="H8" s="89"/>
      <c r="I8" s="229"/>
      <c r="J8" s="128"/>
      <c r="K8" s="113" t="s">
        <v>930</v>
      </c>
      <c r="L8" s="89"/>
    </row>
    <row r="9" spans="1:12" s="260" customFormat="1" ht="27.75" customHeight="1">
      <c r="A9" s="751" t="s">
        <v>501</v>
      </c>
      <c r="B9" s="751" t="s">
        <v>214</v>
      </c>
      <c r="C9" s="674" t="s">
        <v>845</v>
      </c>
      <c r="D9" s="674" t="s">
        <v>846</v>
      </c>
      <c r="E9" s="674" t="s">
        <v>213</v>
      </c>
      <c r="F9" s="674"/>
      <c r="G9" s="674" t="s">
        <v>449</v>
      </c>
      <c r="H9" s="674"/>
      <c r="I9" s="664" t="s">
        <v>225</v>
      </c>
      <c r="J9" s="665"/>
      <c r="K9" s="916" t="s">
        <v>228</v>
      </c>
      <c r="L9" s="917"/>
    </row>
    <row r="10" spans="1:12" s="260" customFormat="1" ht="43.5" customHeight="1">
      <c r="A10" s="918"/>
      <c r="B10" s="918"/>
      <c r="C10" s="674"/>
      <c r="D10" s="674"/>
      <c r="E10" s="257" t="s">
        <v>212</v>
      </c>
      <c r="F10" s="257" t="s">
        <v>195</v>
      </c>
      <c r="G10" s="257" t="s">
        <v>212</v>
      </c>
      <c r="H10" s="257" t="s">
        <v>195</v>
      </c>
      <c r="I10" s="295" t="s">
        <v>212</v>
      </c>
      <c r="J10" s="295" t="s">
        <v>195</v>
      </c>
      <c r="K10" s="257" t="s">
        <v>847</v>
      </c>
      <c r="L10" s="257" t="s">
        <v>848</v>
      </c>
    </row>
    <row r="11" spans="1:12" s="15" customFormat="1" ht="12.75">
      <c r="A11" s="94">
        <v>1</v>
      </c>
      <c r="B11" s="94">
        <v>2</v>
      </c>
      <c r="C11" s="94">
        <v>3</v>
      </c>
      <c r="D11" s="94">
        <v>4</v>
      </c>
      <c r="E11" s="94">
        <v>5</v>
      </c>
      <c r="F11" s="94">
        <v>6</v>
      </c>
      <c r="G11" s="94">
        <v>7</v>
      </c>
      <c r="H11" s="94">
        <v>8</v>
      </c>
      <c r="I11" s="94">
        <v>9</v>
      </c>
      <c r="J11" s="94">
        <v>10</v>
      </c>
      <c r="K11" s="93">
        <v>11</v>
      </c>
      <c r="L11" s="93">
        <v>12</v>
      </c>
    </row>
    <row r="12" spans="1:13" ht="17.25" customHeight="1">
      <c r="A12" s="271">
        <v>1</v>
      </c>
      <c r="B12" s="276" t="s">
        <v>473</v>
      </c>
      <c r="C12" s="542">
        <f>'AT-3'!G9</f>
        <v>917</v>
      </c>
      <c r="D12" s="542">
        <f>'enrolment vs availed_PY'!G11+'enrolment vs availed_UPY'!G11</f>
        <v>83364</v>
      </c>
      <c r="E12" s="543">
        <f>3669*C12/6524</f>
        <v>515.7070815450644</v>
      </c>
      <c r="F12" s="543">
        <f>235887*D12/432279</f>
        <v>45490.25945743374</v>
      </c>
      <c r="G12" s="542">
        <f>C12</f>
        <v>917</v>
      </c>
      <c r="H12" s="543">
        <f>83842*F12/235887</f>
        <v>16168.734747697667</v>
      </c>
      <c r="I12" s="542">
        <f>C12</f>
        <v>917</v>
      </c>
      <c r="J12" s="543">
        <f>407476*D12/432279</f>
        <v>78580.79912278875</v>
      </c>
      <c r="K12" s="543">
        <v>0</v>
      </c>
      <c r="L12" s="543">
        <v>0</v>
      </c>
      <c r="M12" s="347"/>
    </row>
    <row r="13" spans="1:13" ht="17.25" customHeight="1">
      <c r="A13" s="271">
        <v>2</v>
      </c>
      <c r="B13" s="276" t="s">
        <v>474</v>
      </c>
      <c r="C13" s="542">
        <f>'AT-3'!G10</f>
        <v>875</v>
      </c>
      <c r="D13" s="542">
        <f>'enrolment vs availed_PY'!G12+'enrolment vs availed_UPY'!G12</f>
        <v>56494</v>
      </c>
      <c r="E13" s="543">
        <f aca="true" t="shared" si="0" ref="E13:E19">3669*C13/6524</f>
        <v>492.08690987124464</v>
      </c>
      <c r="F13" s="543">
        <f aca="true" t="shared" si="1" ref="F13:F19">235887*D13/432279</f>
        <v>30827.775991894123</v>
      </c>
      <c r="G13" s="542">
        <f aca="true" t="shared" si="2" ref="G13:G19">C13</f>
        <v>875</v>
      </c>
      <c r="H13" s="543">
        <f aca="true" t="shared" si="3" ref="H13:H19">83842*F13/235887</f>
        <v>10957.205758318123</v>
      </c>
      <c r="I13" s="542">
        <f aca="true" t="shared" si="4" ref="I13:I19">C13</f>
        <v>875</v>
      </c>
      <c r="J13" s="543">
        <f aca="true" t="shared" si="5" ref="J13:J19">407476*D13/432279</f>
        <v>53252.52705775668</v>
      </c>
      <c r="K13" s="543">
        <v>0</v>
      </c>
      <c r="L13" s="543">
        <v>0</v>
      </c>
      <c r="M13" s="347"/>
    </row>
    <row r="14" spans="1:13" ht="17.25" customHeight="1">
      <c r="A14" s="271">
        <v>3</v>
      </c>
      <c r="B14" s="276" t="s">
        <v>475</v>
      </c>
      <c r="C14" s="542">
        <f>'AT-3'!G11</f>
        <v>668</v>
      </c>
      <c r="D14" s="542">
        <f>'enrolment vs availed_PY'!G13+'enrolment vs availed_UPY'!G13</f>
        <v>34617</v>
      </c>
      <c r="E14" s="543">
        <f t="shared" si="0"/>
        <v>375.6732066217045</v>
      </c>
      <c r="F14" s="543">
        <f t="shared" si="1"/>
        <v>18889.8842622473</v>
      </c>
      <c r="G14" s="542">
        <f t="shared" si="2"/>
        <v>668</v>
      </c>
      <c r="H14" s="543">
        <f t="shared" si="3"/>
        <v>6714.086305372224</v>
      </c>
      <c r="I14" s="542">
        <f t="shared" si="4"/>
        <v>668</v>
      </c>
      <c r="J14" s="543">
        <f t="shared" si="5"/>
        <v>32630.77015538576</v>
      </c>
      <c r="K14" s="543">
        <v>0</v>
      </c>
      <c r="L14" s="543">
        <v>0</v>
      </c>
      <c r="M14" s="347"/>
    </row>
    <row r="15" spans="1:13" ht="17.25" customHeight="1">
      <c r="A15" s="271">
        <v>4</v>
      </c>
      <c r="B15" s="276" t="s">
        <v>476</v>
      </c>
      <c r="C15" s="542">
        <f>'AT-3'!G12</f>
        <v>810</v>
      </c>
      <c r="D15" s="542">
        <f>'enrolment vs availed_PY'!G14+'enrolment vs availed_UPY'!G14</f>
        <v>49740</v>
      </c>
      <c r="E15" s="543">
        <f t="shared" si="0"/>
        <v>455.5318822808093</v>
      </c>
      <c r="F15" s="543">
        <f t="shared" si="1"/>
        <v>27142.23772147155</v>
      </c>
      <c r="G15" s="542">
        <f t="shared" si="2"/>
        <v>810</v>
      </c>
      <c r="H15" s="543">
        <f t="shared" si="3"/>
        <v>9647.244210336381</v>
      </c>
      <c r="I15" s="542">
        <f t="shared" si="4"/>
        <v>810</v>
      </c>
      <c r="J15" s="543">
        <f t="shared" si="5"/>
        <v>46886.053312791046</v>
      </c>
      <c r="K15" s="543">
        <v>0</v>
      </c>
      <c r="L15" s="543">
        <v>0</v>
      </c>
      <c r="M15" s="347"/>
    </row>
    <row r="16" spans="1:13" ht="17.25" customHeight="1">
      <c r="A16" s="271">
        <v>5</v>
      </c>
      <c r="B16" s="276" t="s">
        <v>477</v>
      </c>
      <c r="C16" s="542">
        <f>'AT-3'!G13</f>
        <v>925</v>
      </c>
      <c r="D16" s="542">
        <f>'enrolment vs availed_PY'!G15+'enrolment vs availed_UPY'!G15</f>
        <v>52447</v>
      </c>
      <c r="E16" s="543">
        <f t="shared" si="0"/>
        <v>520.2061618638871</v>
      </c>
      <c r="F16" s="543">
        <f t="shared" si="1"/>
        <v>28619.39971407355</v>
      </c>
      <c r="G16" s="542">
        <f t="shared" si="2"/>
        <v>925</v>
      </c>
      <c r="H16" s="543">
        <f t="shared" si="3"/>
        <v>10172.276178116448</v>
      </c>
      <c r="I16" s="542">
        <f t="shared" si="4"/>
        <v>925</v>
      </c>
      <c r="J16" s="543">
        <f t="shared" si="5"/>
        <v>49437.73297338062</v>
      </c>
      <c r="K16" s="543">
        <v>0</v>
      </c>
      <c r="L16" s="543">
        <v>0</v>
      </c>
      <c r="M16" s="347"/>
    </row>
    <row r="17" spans="1:13" ht="17.25" customHeight="1">
      <c r="A17" s="271">
        <v>6</v>
      </c>
      <c r="B17" s="276" t="s">
        <v>478</v>
      </c>
      <c r="C17" s="542">
        <f>'AT-3'!G14</f>
        <v>470</v>
      </c>
      <c r="D17" s="542">
        <f>'enrolment vs availed_PY'!G16+'enrolment vs availed_UPY'!G16</f>
        <v>39283</v>
      </c>
      <c r="E17" s="543">
        <f t="shared" si="0"/>
        <v>264.32096873084</v>
      </c>
      <c r="F17" s="543">
        <f t="shared" si="1"/>
        <v>21436.037885254664</v>
      </c>
      <c r="G17" s="542">
        <f t="shared" si="2"/>
        <v>470</v>
      </c>
      <c r="H17" s="543">
        <f t="shared" si="3"/>
        <v>7619.073066237314</v>
      </c>
      <c r="I17" s="542">
        <f t="shared" si="4"/>
        <v>470</v>
      </c>
      <c r="J17" s="543">
        <f t="shared" si="5"/>
        <v>37029.047693734836</v>
      </c>
      <c r="K17" s="543">
        <v>0</v>
      </c>
      <c r="L17" s="543">
        <v>0</v>
      </c>
      <c r="M17" s="347"/>
    </row>
    <row r="18" spans="1:13" ht="17.25" customHeight="1">
      <c r="A18" s="271">
        <v>7</v>
      </c>
      <c r="B18" s="276" t="s">
        <v>479</v>
      </c>
      <c r="C18" s="542">
        <f>'AT-3'!G15</f>
        <v>719</v>
      </c>
      <c r="D18" s="542">
        <f>'enrolment vs availed_PY'!G17+'enrolment vs availed_UPY'!G17</f>
        <v>60363</v>
      </c>
      <c r="E18" s="543">
        <f t="shared" si="0"/>
        <v>404.3548436541999</v>
      </c>
      <c r="F18" s="543">
        <f t="shared" si="1"/>
        <v>32939.020819887155</v>
      </c>
      <c r="G18" s="542">
        <f t="shared" si="2"/>
        <v>719</v>
      </c>
      <c r="H18" s="543">
        <f t="shared" si="3"/>
        <v>11707.611625824988</v>
      </c>
      <c r="I18" s="542">
        <f t="shared" si="4"/>
        <v>719</v>
      </c>
      <c r="J18" s="543">
        <f t="shared" si="5"/>
        <v>56899.53430076409</v>
      </c>
      <c r="K18" s="543">
        <v>0</v>
      </c>
      <c r="L18" s="543">
        <v>0</v>
      </c>
      <c r="M18" s="347"/>
    </row>
    <row r="19" spans="1:13" ht="17.25" customHeight="1">
      <c r="A19" s="271">
        <v>8</v>
      </c>
      <c r="B19" s="276" t="s">
        <v>480</v>
      </c>
      <c r="C19" s="542">
        <f>'AT-3'!G16</f>
        <v>1140</v>
      </c>
      <c r="D19" s="542">
        <f>'enrolment vs availed_PY'!G18+'enrolment vs availed_UPY'!G18</f>
        <v>55971</v>
      </c>
      <c r="E19" s="543">
        <f t="shared" si="0"/>
        <v>641.1189454322501</v>
      </c>
      <c r="F19" s="543">
        <f t="shared" si="1"/>
        <v>30542.38414773792</v>
      </c>
      <c r="G19" s="542">
        <f t="shared" si="2"/>
        <v>1140</v>
      </c>
      <c r="H19" s="543">
        <f t="shared" si="3"/>
        <v>10855.768108096856</v>
      </c>
      <c r="I19" s="542">
        <f t="shared" si="4"/>
        <v>1140</v>
      </c>
      <c r="J19" s="543">
        <f t="shared" si="5"/>
        <v>52759.53538339822</v>
      </c>
      <c r="K19" s="543">
        <v>0</v>
      </c>
      <c r="L19" s="543">
        <v>0</v>
      </c>
      <c r="M19" s="347"/>
    </row>
    <row r="20" spans="1:13" ht="17.25" customHeight="1">
      <c r="A20" s="158"/>
      <c r="B20" s="275" t="s">
        <v>481</v>
      </c>
      <c r="C20" s="544">
        <f>SUM(C12:C19)</f>
        <v>6524</v>
      </c>
      <c r="D20" s="544">
        <f>SUM(D12:D19)</f>
        <v>432279</v>
      </c>
      <c r="E20" s="544">
        <f aca="true" t="shared" si="6" ref="E20:L20">SUM(E12:E19)</f>
        <v>3669.0000000000005</v>
      </c>
      <c r="F20" s="544">
        <f t="shared" si="6"/>
        <v>235887</v>
      </c>
      <c r="G20" s="544">
        <f t="shared" si="6"/>
        <v>6524</v>
      </c>
      <c r="H20" s="544">
        <f t="shared" si="6"/>
        <v>83842.00000000001</v>
      </c>
      <c r="I20" s="544">
        <f t="shared" si="6"/>
        <v>6524</v>
      </c>
      <c r="J20" s="544">
        <f t="shared" si="6"/>
        <v>407476</v>
      </c>
      <c r="K20" s="544">
        <f t="shared" si="6"/>
        <v>0</v>
      </c>
      <c r="L20" s="544">
        <f t="shared" si="6"/>
        <v>0</v>
      </c>
      <c r="M20" s="347"/>
    </row>
    <row r="21" spans="1:14" ht="12.75">
      <c r="A21" s="89"/>
      <c r="B21" s="89"/>
      <c r="C21" s="89" t="s">
        <v>11</v>
      </c>
      <c r="D21" s="89"/>
      <c r="E21" s="89"/>
      <c r="F21" s="648">
        <f>F20/D20</f>
        <v>0.545682302401921</v>
      </c>
      <c r="G21" s="89"/>
      <c r="H21" s="648">
        <f>H20/D20</f>
        <v>0.19395344210567717</v>
      </c>
      <c r="I21" s="89"/>
      <c r="J21" s="648">
        <f>J20/D20</f>
        <v>0.9426227043182759</v>
      </c>
      <c r="K21" s="89" t="s">
        <v>11</v>
      </c>
      <c r="L21" s="89" t="s">
        <v>11</v>
      </c>
      <c r="N21" s="16" t="s">
        <v>11</v>
      </c>
    </row>
    <row r="22" spans="1:12" ht="12.75">
      <c r="A22" s="493" t="s">
        <v>11</v>
      </c>
      <c r="B22" s="493"/>
      <c r="C22" s="493"/>
      <c r="D22" s="493"/>
      <c r="E22" s="493"/>
      <c r="F22" s="493"/>
      <c r="G22" s="493"/>
      <c r="H22" s="493"/>
      <c r="I22" s="493"/>
      <c r="J22" s="493"/>
      <c r="K22" s="493"/>
      <c r="L22" s="447" t="s">
        <v>11</v>
      </c>
    </row>
    <row r="23" spans="1:12" ht="12.75">
      <c r="A23" s="89"/>
      <c r="B23" s="89"/>
      <c r="C23" s="89"/>
      <c r="D23" s="89" t="s">
        <v>11</v>
      </c>
      <c r="E23" s="450"/>
      <c r="F23" s="89"/>
      <c r="G23" s="89"/>
      <c r="H23" s="89"/>
      <c r="I23" s="89"/>
      <c r="J23" s="89"/>
      <c r="K23" s="89"/>
      <c r="L23" s="89"/>
    </row>
    <row r="24" spans="1:12" ht="15.75" customHeight="1">
      <c r="A24" s="100" t="s">
        <v>12</v>
      </c>
      <c r="B24" s="100"/>
      <c r="C24" s="100"/>
      <c r="D24" s="100"/>
      <c r="E24" s="450"/>
      <c r="F24" s="89"/>
      <c r="G24" s="100"/>
      <c r="H24" s="451"/>
      <c r="I24" s="100"/>
      <c r="J24" s="915" t="s">
        <v>11</v>
      </c>
      <c r="K24" s="915"/>
      <c r="L24" s="915"/>
    </row>
    <row r="25" spans="2:12" ht="15.75" customHeight="1">
      <c r="B25" s="131"/>
      <c r="C25" s="131"/>
      <c r="D25" s="131"/>
      <c r="E25" s="450"/>
      <c r="F25" s="89"/>
      <c r="G25" s="131"/>
      <c r="H25" s="452"/>
      <c r="I25" s="131"/>
      <c r="J25" s="915" t="s">
        <v>1062</v>
      </c>
      <c r="K25" s="915"/>
      <c r="L25" s="915"/>
    </row>
    <row r="26" spans="1:12" ht="15" customHeight="1">
      <c r="A26" s="131"/>
      <c r="B26" s="131"/>
      <c r="C26" s="131"/>
      <c r="D26" s="131"/>
      <c r="E26" s="450"/>
      <c r="F26" s="89"/>
      <c r="G26" s="131"/>
      <c r="H26" s="452"/>
      <c r="I26" s="131"/>
      <c r="J26" s="915" t="s">
        <v>485</v>
      </c>
      <c r="K26" s="915"/>
      <c r="L26" s="915"/>
    </row>
    <row r="27" spans="1:12" ht="15.75">
      <c r="A27" s="89"/>
      <c r="B27" s="89"/>
      <c r="C27" s="89"/>
      <c r="D27" s="89"/>
      <c r="E27" s="450"/>
      <c r="F27" s="89"/>
      <c r="H27" s="452"/>
      <c r="J27" s="31" t="s">
        <v>547</v>
      </c>
      <c r="K27" s="31"/>
      <c r="L27" s="31"/>
    </row>
    <row r="28" spans="5:8" ht="15.75">
      <c r="E28" s="450"/>
      <c r="F28" s="89"/>
      <c r="H28" s="452"/>
    </row>
    <row r="29" spans="5:8" ht="15.75">
      <c r="E29" s="450"/>
      <c r="F29" s="89"/>
      <c r="H29" s="452"/>
    </row>
    <row r="30" spans="5:8" ht="15.75">
      <c r="E30" s="450"/>
      <c r="F30" s="89"/>
      <c r="H30" s="452"/>
    </row>
    <row r="31" spans="5:8" ht="15.75">
      <c r="E31" s="450"/>
      <c r="F31" s="89"/>
      <c r="H31" s="452"/>
    </row>
    <row r="32" spans="5:8" ht="15.75">
      <c r="E32" s="89"/>
      <c r="F32" s="451"/>
      <c r="H32" s="452"/>
    </row>
    <row r="33" spans="5:8" ht="15.75">
      <c r="E33" s="89"/>
      <c r="F33" s="100"/>
      <c r="H33" s="131"/>
    </row>
    <row r="34" spans="5:6" ht="12.75">
      <c r="E34" s="89"/>
      <c r="F34" s="347"/>
    </row>
    <row r="35" spans="5:6" ht="12.75">
      <c r="E35" s="347"/>
      <c r="F35" s="347"/>
    </row>
    <row r="36" spans="5:6" ht="12.75">
      <c r="E36" s="347"/>
      <c r="F36" s="347"/>
    </row>
    <row r="37" spans="5:6" ht="12.75">
      <c r="E37" s="347"/>
      <c r="F37" s="347"/>
    </row>
  </sheetData>
  <sheetProtection/>
  <mergeCells count="17">
    <mergeCell ref="A2:L2"/>
    <mergeCell ref="A3:L3"/>
    <mergeCell ref="A5:L5"/>
    <mergeCell ref="K1:L1"/>
    <mergeCell ref="G9:H9"/>
    <mergeCell ref="I9:J9"/>
    <mergeCell ref="H7:I7"/>
    <mergeCell ref="J24:L24"/>
    <mergeCell ref="J25:L25"/>
    <mergeCell ref="J26:L26"/>
    <mergeCell ref="A7:B7"/>
    <mergeCell ref="D9:D10"/>
    <mergeCell ref="E9:F9"/>
    <mergeCell ref="K9:L9"/>
    <mergeCell ref="B9:B10"/>
    <mergeCell ref="A9:A10"/>
    <mergeCell ref="C9:C10"/>
  </mergeCells>
  <printOptions horizontalCentered="1"/>
  <pageMargins left="0.7086614173228347" right="0.25" top="0.99" bottom="0" header="0.69" footer="0.31496062992125984"/>
  <pageSetup fitToHeight="1" fitToWidth="1" horizontalDpi="600" verticalDpi="600" orientation="landscape" paperSize="9" scale="90" r:id="rId1"/>
  <colBreaks count="1" manualBreakCount="1">
    <brk id="12" max="37" man="1"/>
  </colBreaks>
</worksheet>
</file>

<file path=xl/worksheets/sheet46.xml><?xml version="1.0" encoding="utf-8"?>
<worksheet xmlns="http://schemas.openxmlformats.org/spreadsheetml/2006/main" xmlns:r="http://schemas.openxmlformats.org/officeDocument/2006/relationships">
  <dimension ref="A1:IG28"/>
  <sheetViews>
    <sheetView view="pageBreakPreview" zoomScaleSheetLayoutView="100" zoomScalePageLayoutView="0" workbookViewId="0" topLeftCell="A4">
      <selection activeCell="E27" sqref="E27:F27"/>
    </sheetView>
  </sheetViews>
  <sheetFormatPr defaultColWidth="8.8515625" defaultRowHeight="12.75"/>
  <cols>
    <col min="1" max="1" width="7.140625" style="89" customWidth="1"/>
    <col min="2" max="2" width="17.28125" style="89" customWidth="1"/>
    <col min="3" max="3" width="21.57421875" style="89" customWidth="1"/>
    <col min="4" max="4" width="23.140625" style="89" customWidth="1"/>
    <col min="5" max="5" width="22.140625" style="89" customWidth="1"/>
    <col min="6" max="6" width="20.7109375" style="89" customWidth="1"/>
    <col min="7" max="16384" width="8.8515625" style="89" customWidth="1"/>
  </cols>
  <sheetData>
    <row r="1" spans="4:6" ht="12.75" customHeight="1">
      <c r="D1" s="250"/>
      <c r="E1" s="250"/>
      <c r="F1" s="251" t="s">
        <v>95</v>
      </c>
    </row>
    <row r="2" spans="2:6" ht="15" customHeight="1">
      <c r="B2" s="731" t="s">
        <v>0</v>
      </c>
      <c r="C2" s="731"/>
      <c r="D2" s="731"/>
      <c r="E2" s="731"/>
      <c r="F2" s="731"/>
    </row>
    <row r="3" spans="2:6" ht="20.25">
      <c r="B3" s="732" t="s">
        <v>878</v>
      </c>
      <c r="C3" s="732"/>
      <c r="D3" s="732"/>
      <c r="E3" s="732"/>
      <c r="F3" s="732"/>
    </row>
    <row r="4" ht="11.25" customHeight="1"/>
    <row r="5" spans="1:6" ht="12.75">
      <c r="A5" s="921" t="s">
        <v>446</v>
      </c>
      <c r="B5" s="921"/>
      <c r="C5" s="921"/>
      <c r="D5" s="921"/>
      <c r="E5" s="921"/>
      <c r="F5" s="921"/>
    </row>
    <row r="6" spans="1:6" ht="8.25" customHeight="1">
      <c r="A6" s="91"/>
      <c r="B6" s="91"/>
      <c r="C6" s="91"/>
      <c r="D6" s="91"/>
      <c r="E6" s="91"/>
      <c r="F6" s="91"/>
    </row>
    <row r="7" spans="1:6" ht="15.75">
      <c r="A7" s="668" t="s">
        <v>472</v>
      </c>
      <c r="B7" s="668"/>
      <c r="C7" s="91"/>
      <c r="D7" s="91"/>
      <c r="E7" s="91"/>
      <c r="F7" s="91"/>
    </row>
    <row r="9" ht="18" customHeight="1" hidden="1">
      <c r="A9" s="92" t="s">
        <v>1</v>
      </c>
    </row>
    <row r="10" spans="1:6" s="307" customFormat="1" ht="30" customHeight="1">
      <c r="A10" s="751" t="s">
        <v>2</v>
      </c>
      <c r="B10" s="751" t="s">
        <v>3</v>
      </c>
      <c r="C10" s="922" t="s">
        <v>442</v>
      </c>
      <c r="D10" s="922"/>
      <c r="E10" s="922" t="s">
        <v>445</v>
      </c>
      <c r="F10" s="922"/>
    </row>
    <row r="11" spans="1:7" s="309" customFormat="1" ht="25.5">
      <c r="A11" s="751"/>
      <c r="B11" s="751"/>
      <c r="C11" s="262" t="s">
        <v>443</v>
      </c>
      <c r="D11" s="262" t="s">
        <v>444</v>
      </c>
      <c r="E11" s="262" t="s">
        <v>443</v>
      </c>
      <c r="F11" s="262" t="s">
        <v>444</v>
      </c>
      <c r="G11" s="308"/>
    </row>
    <row r="12" spans="1:6" s="156" customFormat="1" ht="12.75">
      <c r="A12" s="155">
        <v>1</v>
      </c>
      <c r="B12" s="155">
        <v>2</v>
      </c>
      <c r="C12" s="155">
        <v>3</v>
      </c>
      <c r="D12" s="155">
        <v>4</v>
      </c>
      <c r="E12" s="155">
        <v>5</v>
      </c>
      <c r="F12" s="155">
        <v>6</v>
      </c>
    </row>
    <row r="13" spans="1:6" ht="12.75">
      <c r="A13" s="8">
        <v>1</v>
      </c>
      <c r="B13" s="19" t="s">
        <v>473</v>
      </c>
      <c r="C13" s="97">
        <f>'AT-3'!C9</f>
        <v>599</v>
      </c>
      <c r="D13" s="97">
        <f>C13</f>
        <v>599</v>
      </c>
      <c r="E13" s="97">
        <f>'AT-3'!D9+'AT-3'!E9</f>
        <v>318</v>
      </c>
      <c r="F13" s="97">
        <f>E13</f>
        <v>318</v>
      </c>
    </row>
    <row r="14" spans="1:6" ht="12.75">
      <c r="A14" s="8">
        <v>2</v>
      </c>
      <c r="B14" s="19" t="s">
        <v>474</v>
      </c>
      <c r="C14" s="97">
        <f>'AT-3'!C10</f>
        <v>587</v>
      </c>
      <c r="D14" s="97">
        <f aca="true" t="shared" si="0" ref="D14:D20">C14</f>
        <v>587</v>
      </c>
      <c r="E14" s="97">
        <f>'AT-3'!D10+'AT-3'!E10</f>
        <v>288</v>
      </c>
      <c r="F14" s="97">
        <f aca="true" t="shared" si="1" ref="F14:F20">E14</f>
        <v>288</v>
      </c>
    </row>
    <row r="15" spans="1:6" ht="12.75">
      <c r="A15" s="8">
        <v>3</v>
      </c>
      <c r="B15" s="19" t="s">
        <v>475</v>
      </c>
      <c r="C15" s="97">
        <f>'AT-3'!C11</f>
        <v>456</v>
      </c>
      <c r="D15" s="97">
        <f t="shared" si="0"/>
        <v>456</v>
      </c>
      <c r="E15" s="97">
        <f>'AT-3'!D11+'AT-3'!E11</f>
        <v>212</v>
      </c>
      <c r="F15" s="97">
        <f t="shared" si="1"/>
        <v>212</v>
      </c>
    </row>
    <row r="16" spans="1:6" ht="12.75">
      <c r="A16" s="8">
        <v>4</v>
      </c>
      <c r="B16" s="19" t="s">
        <v>476</v>
      </c>
      <c r="C16" s="97">
        <f>'AT-3'!C12</f>
        <v>528</v>
      </c>
      <c r="D16" s="97">
        <f t="shared" si="0"/>
        <v>528</v>
      </c>
      <c r="E16" s="97">
        <f>'AT-3'!D12+'AT-3'!E12</f>
        <v>282</v>
      </c>
      <c r="F16" s="97">
        <f t="shared" si="1"/>
        <v>282</v>
      </c>
    </row>
    <row r="17" spans="1:6" ht="12.75">
      <c r="A17" s="8">
        <v>5</v>
      </c>
      <c r="B17" s="19" t="s">
        <v>477</v>
      </c>
      <c r="C17" s="97">
        <f>'AT-3'!C13</f>
        <v>617</v>
      </c>
      <c r="D17" s="97">
        <f t="shared" si="0"/>
        <v>617</v>
      </c>
      <c r="E17" s="97">
        <f>'AT-3'!D13+'AT-3'!E13</f>
        <v>308</v>
      </c>
      <c r="F17" s="97">
        <f t="shared" si="1"/>
        <v>308</v>
      </c>
    </row>
    <row r="18" spans="1:6" ht="12.75">
      <c r="A18" s="8">
        <v>6</v>
      </c>
      <c r="B18" s="19" t="s">
        <v>478</v>
      </c>
      <c r="C18" s="97">
        <f>'AT-3'!C14</f>
        <v>322</v>
      </c>
      <c r="D18" s="97">
        <f t="shared" si="0"/>
        <v>322</v>
      </c>
      <c r="E18" s="97">
        <f>'AT-3'!D14+'AT-3'!E14</f>
        <v>148</v>
      </c>
      <c r="F18" s="97">
        <f t="shared" si="1"/>
        <v>148</v>
      </c>
    </row>
    <row r="19" spans="1:6" ht="12.75">
      <c r="A19" s="8">
        <v>7</v>
      </c>
      <c r="B19" s="19" t="s">
        <v>479</v>
      </c>
      <c r="C19" s="97">
        <f>'AT-3'!C15</f>
        <v>475</v>
      </c>
      <c r="D19" s="97">
        <f t="shared" si="0"/>
        <v>475</v>
      </c>
      <c r="E19" s="97">
        <f>'AT-3'!D15+'AT-3'!E15</f>
        <v>244</v>
      </c>
      <c r="F19" s="97">
        <f t="shared" si="1"/>
        <v>244</v>
      </c>
    </row>
    <row r="20" spans="1:6" ht="12.75">
      <c r="A20" s="8">
        <v>8</v>
      </c>
      <c r="B20" s="19" t="s">
        <v>480</v>
      </c>
      <c r="C20" s="97">
        <f>'AT-3'!C16</f>
        <v>812</v>
      </c>
      <c r="D20" s="97">
        <f t="shared" si="0"/>
        <v>812</v>
      </c>
      <c r="E20" s="97">
        <f>'AT-3'!D16+'AT-3'!E16</f>
        <v>328</v>
      </c>
      <c r="F20" s="97">
        <f t="shared" si="1"/>
        <v>328</v>
      </c>
    </row>
    <row r="21" spans="1:6" ht="12.75">
      <c r="A21" s="3"/>
      <c r="B21" s="27" t="s">
        <v>481</v>
      </c>
      <c r="C21" s="97">
        <f>SUM(C13:C20)</f>
        <v>4396</v>
      </c>
      <c r="D21" s="97">
        <f>SUM(D13:D20)</f>
        <v>4396</v>
      </c>
      <c r="E21" s="97">
        <f>SUM(E13:E20)</f>
        <v>2128</v>
      </c>
      <c r="F21" s="97">
        <f>SUM(F13:F20)</f>
        <v>2128</v>
      </c>
    </row>
    <row r="22" ht="12.75">
      <c r="A22" s="99"/>
    </row>
    <row r="23" spans="1:241" ht="12.75">
      <c r="A23" s="920"/>
      <c r="B23" s="920"/>
      <c r="C23" s="920"/>
      <c r="D23" s="920"/>
      <c r="E23" s="920"/>
      <c r="F23" s="920"/>
      <c r="G23" s="920"/>
      <c r="H23" s="920"/>
      <c r="I23" s="920"/>
      <c r="J23" s="920"/>
      <c r="K23" s="920"/>
      <c r="L23" s="920"/>
      <c r="M23" s="920"/>
      <c r="N23" s="920"/>
      <c r="O23" s="920"/>
      <c r="P23" s="920"/>
      <c r="Q23" s="920"/>
      <c r="R23" s="920"/>
      <c r="S23" s="920"/>
      <c r="T23" s="920"/>
      <c r="U23" s="920"/>
      <c r="V23" s="920"/>
      <c r="W23" s="920"/>
      <c r="X23" s="920"/>
      <c r="Y23" s="920"/>
      <c r="Z23" s="920"/>
      <c r="AA23" s="920"/>
      <c r="AB23" s="920"/>
      <c r="AC23" s="920"/>
      <c r="AD23" s="920"/>
      <c r="AE23" s="920"/>
      <c r="AF23" s="920"/>
      <c r="AG23" s="920"/>
      <c r="AH23" s="920"/>
      <c r="AI23" s="920"/>
      <c r="AJ23" s="920"/>
      <c r="AK23" s="920"/>
      <c r="AL23" s="920"/>
      <c r="AM23" s="920"/>
      <c r="AN23" s="920"/>
      <c r="AO23" s="920"/>
      <c r="AP23" s="920"/>
      <c r="AQ23" s="920"/>
      <c r="AR23" s="920"/>
      <c r="AS23" s="920"/>
      <c r="AT23" s="920"/>
      <c r="AU23" s="920"/>
      <c r="AV23" s="920"/>
      <c r="AW23" s="920"/>
      <c r="AX23" s="920"/>
      <c r="AY23" s="920"/>
      <c r="AZ23" s="920"/>
      <c r="BA23" s="920"/>
      <c r="BB23" s="920"/>
      <c r="BC23" s="920"/>
      <c r="BD23" s="920"/>
      <c r="BE23" s="920"/>
      <c r="BF23" s="920"/>
      <c r="BG23" s="920"/>
      <c r="BH23" s="920"/>
      <c r="BI23" s="920"/>
      <c r="BJ23" s="920"/>
      <c r="BK23" s="920"/>
      <c r="BL23" s="920"/>
      <c r="BM23" s="920"/>
      <c r="BN23" s="920"/>
      <c r="BO23" s="920"/>
      <c r="BP23" s="920"/>
      <c r="BQ23" s="920"/>
      <c r="BR23" s="920"/>
      <c r="BS23" s="920"/>
      <c r="BT23" s="920"/>
      <c r="BU23" s="920"/>
      <c r="BV23" s="920"/>
      <c r="BW23" s="920"/>
      <c r="BX23" s="920"/>
      <c r="BY23" s="920"/>
      <c r="BZ23" s="920"/>
      <c r="CA23" s="920"/>
      <c r="CB23" s="920"/>
      <c r="CC23" s="920"/>
      <c r="CD23" s="920"/>
      <c r="CE23" s="920"/>
      <c r="CF23" s="920"/>
      <c r="CG23" s="920"/>
      <c r="CH23" s="920"/>
      <c r="CI23" s="920"/>
      <c r="CJ23" s="920"/>
      <c r="CK23" s="920"/>
      <c r="CL23" s="920"/>
      <c r="CM23" s="920"/>
      <c r="CN23" s="920"/>
      <c r="CO23" s="920"/>
      <c r="CP23" s="920"/>
      <c r="CQ23" s="920"/>
      <c r="CR23" s="920"/>
      <c r="CS23" s="920"/>
      <c r="CT23" s="920"/>
      <c r="CU23" s="920"/>
      <c r="CV23" s="920"/>
      <c r="CW23" s="920"/>
      <c r="CX23" s="920"/>
      <c r="CY23" s="920"/>
      <c r="CZ23" s="920"/>
      <c r="DA23" s="920"/>
      <c r="DB23" s="920"/>
      <c r="DC23" s="920"/>
      <c r="DD23" s="920"/>
      <c r="DE23" s="920"/>
      <c r="DF23" s="920"/>
      <c r="DG23" s="920"/>
      <c r="DH23" s="920"/>
      <c r="DI23" s="920"/>
      <c r="DJ23" s="920"/>
      <c r="DK23" s="920"/>
      <c r="DL23" s="920"/>
      <c r="DM23" s="920"/>
      <c r="DN23" s="920"/>
      <c r="DO23" s="920"/>
      <c r="DP23" s="920"/>
      <c r="DQ23" s="920"/>
      <c r="DR23" s="920"/>
      <c r="DS23" s="920"/>
      <c r="DT23" s="920"/>
      <c r="DU23" s="920"/>
      <c r="DV23" s="920"/>
      <c r="DW23" s="920"/>
      <c r="DX23" s="920"/>
      <c r="DY23" s="920"/>
      <c r="DZ23" s="920"/>
      <c r="EA23" s="920"/>
      <c r="EB23" s="920"/>
      <c r="EC23" s="920"/>
      <c r="ED23" s="920"/>
      <c r="EE23" s="920"/>
      <c r="EF23" s="920"/>
      <c r="EG23" s="920"/>
      <c r="EH23" s="920"/>
      <c r="EI23" s="920"/>
      <c r="EJ23" s="920"/>
      <c r="EK23" s="920"/>
      <c r="EL23" s="920"/>
      <c r="EM23" s="920"/>
      <c r="EN23" s="920"/>
      <c r="EO23" s="920"/>
      <c r="EP23" s="920"/>
      <c r="EQ23" s="920"/>
      <c r="ER23" s="920"/>
      <c r="ES23" s="920"/>
      <c r="ET23" s="920"/>
      <c r="EU23" s="920"/>
      <c r="EV23" s="920"/>
      <c r="EW23" s="920"/>
      <c r="EX23" s="920"/>
      <c r="EY23" s="920"/>
      <c r="EZ23" s="920"/>
      <c r="FA23" s="920"/>
      <c r="FB23" s="920"/>
      <c r="FC23" s="920"/>
      <c r="FD23" s="920"/>
      <c r="FE23" s="920"/>
      <c r="FF23" s="920"/>
      <c r="FG23" s="920"/>
      <c r="FH23" s="920"/>
      <c r="FI23" s="920"/>
      <c r="FJ23" s="920"/>
      <c r="FK23" s="920"/>
      <c r="FL23" s="920"/>
      <c r="FM23" s="920"/>
      <c r="FN23" s="920"/>
      <c r="FO23" s="920"/>
      <c r="FP23" s="920"/>
      <c r="FQ23" s="920"/>
      <c r="FR23" s="920"/>
      <c r="FS23" s="920"/>
      <c r="FT23" s="920"/>
      <c r="FU23" s="920"/>
      <c r="FV23" s="920"/>
      <c r="FW23" s="920"/>
      <c r="FX23" s="920"/>
      <c r="FY23" s="920"/>
      <c r="FZ23" s="920"/>
      <c r="GA23" s="920"/>
      <c r="GB23" s="920"/>
      <c r="GC23" s="920"/>
      <c r="GD23" s="920"/>
      <c r="GE23" s="920"/>
      <c r="GF23" s="920"/>
      <c r="GG23" s="920"/>
      <c r="GH23" s="920"/>
      <c r="GI23" s="920"/>
      <c r="GJ23" s="920"/>
      <c r="GK23" s="920"/>
      <c r="GL23" s="920"/>
      <c r="GM23" s="920"/>
      <c r="GN23" s="920"/>
      <c r="GO23" s="920"/>
      <c r="GP23" s="920"/>
      <c r="GQ23" s="920"/>
      <c r="GR23" s="920"/>
      <c r="GS23" s="920"/>
      <c r="GT23" s="920"/>
      <c r="GU23" s="920"/>
      <c r="GV23" s="920"/>
      <c r="GW23" s="920"/>
      <c r="GX23" s="920"/>
      <c r="GY23" s="920"/>
      <c r="GZ23" s="920"/>
      <c r="HA23" s="920"/>
      <c r="HB23" s="920"/>
      <c r="HC23" s="920"/>
      <c r="HD23" s="920"/>
      <c r="HE23" s="920"/>
      <c r="HF23" s="920"/>
      <c r="HG23" s="920"/>
      <c r="HH23" s="920"/>
      <c r="HI23" s="920"/>
      <c r="HJ23" s="920"/>
      <c r="HK23" s="920"/>
      <c r="HL23" s="920"/>
      <c r="HM23" s="920"/>
      <c r="HN23" s="920"/>
      <c r="HO23" s="920"/>
      <c r="HP23" s="920"/>
      <c r="HQ23" s="920"/>
      <c r="HR23" s="920"/>
      <c r="HS23" s="920"/>
      <c r="HT23" s="920"/>
      <c r="HU23" s="920"/>
      <c r="HV23" s="920"/>
      <c r="HW23" s="920"/>
      <c r="HX23" s="920"/>
      <c r="HY23" s="920"/>
      <c r="HZ23" s="920"/>
      <c r="IA23" s="920"/>
      <c r="IB23" s="920"/>
      <c r="IC23" s="920"/>
      <c r="ID23" s="920"/>
      <c r="IE23" s="920"/>
      <c r="IF23" s="920"/>
      <c r="IG23" s="920"/>
    </row>
    <row r="24" spans="1:6" ht="15">
      <c r="A24" s="315" t="s">
        <v>12</v>
      </c>
      <c r="B24" s="315"/>
      <c r="C24" s="315"/>
      <c r="D24" s="315"/>
      <c r="E24" s="315"/>
      <c r="F24" s="315"/>
    </row>
    <row r="25" spans="1:14" ht="15">
      <c r="A25" s="316"/>
      <c r="B25" s="316"/>
      <c r="C25" s="316"/>
      <c r="D25" s="316"/>
      <c r="E25" s="923"/>
      <c r="F25" s="923"/>
      <c r="I25" s="86"/>
      <c r="J25" s="86"/>
      <c r="K25" s="86"/>
      <c r="L25" s="86"/>
      <c r="M25" s="86"/>
      <c r="N25" s="86"/>
    </row>
    <row r="26" spans="1:14" ht="15">
      <c r="A26" s="316"/>
      <c r="B26" s="316"/>
      <c r="C26" s="316"/>
      <c r="D26" s="316" t="s">
        <v>11</v>
      </c>
      <c r="E26" s="676" t="s">
        <v>1062</v>
      </c>
      <c r="F26" s="676"/>
      <c r="I26" s="31"/>
      <c r="J26" s="31"/>
      <c r="K26" s="31"/>
      <c r="L26" s="31"/>
      <c r="M26" s="31"/>
      <c r="N26" s="31"/>
    </row>
    <row r="27" spans="1:14" ht="14.25">
      <c r="A27" s="317"/>
      <c r="B27" s="317"/>
      <c r="C27" s="317"/>
      <c r="D27" s="317"/>
      <c r="E27" s="676" t="s">
        <v>484</v>
      </c>
      <c r="F27" s="676"/>
      <c r="I27" s="31"/>
      <c r="J27" s="31"/>
      <c r="K27" s="31"/>
      <c r="L27" s="31"/>
      <c r="M27" s="31"/>
      <c r="N27" s="31"/>
    </row>
    <row r="28" spans="1:14" ht="14.25">
      <c r="A28" s="317"/>
      <c r="B28" s="319"/>
      <c r="C28" s="319"/>
      <c r="D28" s="319"/>
      <c r="E28" s="29" t="s">
        <v>80</v>
      </c>
      <c r="F28" s="641"/>
      <c r="H28" s="31"/>
      <c r="J28" s="31"/>
      <c r="K28" s="31"/>
      <c r="L28" s="31"/>
      <c r="M28" s="31"/>
      <c r="N28" s="31"/>
    </row>
  </sheetData>
  <sheetProtection/>
  <mergeCells count="72">
    <mergeCell ref="BZ23:CC23"/>
    <mergeCell ref="CD23:CG23"/>
    <mergeCell ref="CH23:CK23"/>
    <mergeCell ref="BF23:BI23"/>
    <mergeCell ref="BJ23:BM23"/>
    <mergeCell ref="BN23:BQ23"/>
    <mergeCell ref="E26:F26"/>
    <mergeCell ref="E27:F27"/>
    <mergeCell ref="CT23:CW23"/>
    <mergeCell ref="ED23:EG23"/>
    <mergeCell ref="EH23:EK23"/>
    <mergeCell ref="CX23:DA23"/>
    <mergeCell ref="DB23:DE23"/>
    <mergeCell ref="DF23:DI23"/>
    <mergeCell ref="DJ23:DM23"/>
    <mergeCell ref="BV23:BY23"/>
    <mergeCell ref="DN23:DQ23"/>
    <mergeCell ref="DR23:DU23"/>
    <mergeCell ref="DV23:DY23"/>
    <mergeCell ref="DZ23:EC23"/>
    <mergeCell ref="CP23:CS23"/>
    <mergeCell ref="CL23:CO23"/>
    <mergeCell ref="FJ23:FM23"/>
    <mergeCell ref="FN23:FQ23"/>
    <mergeCell ref="EL23:EO23"/>
    <mergeCell ref="EP23:ES23"/>
    <mergeCell ref="E25:F25"/>
    <mergeCell ref="ET23:EW23"/>
    <mergeCell ref="EX23:FA23"/>
    <mergeCell ref="FB23:FE23"/>
    <mergeCell ref="FF23:FI23"/>
    <mergeCell ref="BB23:BE23"/>
    <mergeCell ref="GX23:HA23"/>
    <mergeCell ref="GP23:GS23"/>
    <mergeCell ref="GT23:GW23"/>
    <mergeCell ref="ID23:IG23"/>
    <mergeCell ref="HF23:HI23"/>
    <mergeCell ref="HJ23:HM23"/>
    <mergeCell ref="HN23:HQ23"/>
    <mergeCell ref="HR23:HU23"/>
    <mergeCell ref="HV23:HY23"/>
    <mergeCell ref="HZ23:IC23"/>
    <mergeCell ref="AD23:AG23"/>
    <mergeCell ref="AH23:AK23"/>
    <mergeCell ref="AL23:AO23"/>
    <mergeCell ref="HB23:HE23"/>
    <mergeCell ref="FR23:FU23"/>
    <mergeCell ref="FV23:FY23"/>
    <mergeCell ref="FZ23:GC23"/>
    <mergeCell ref="GD23:GG23"/>
    <mergeCell ref="GH23:GK23"/>
    <mergeCell ref="GL23:GO23"/>
    <mergeCell ref="A7:B7"/>
    <mergeCell ref="BR23:BU23"/>
    <mergeCell ref="AP23:AS23"/>
    <mergeCell ref="AT23:AW23"/>
    <mergeCell ref="AX23:BA23"/>
    <mergeCell ref="G23:I23"/>
    <mergeCell ref="J23:M23"/>
    <mergeCell ref="N23:Q23"/>
    <mergeCell ref="R23:U23"/>
    <mergeCell ref="V23:Y23"/>
    <mergeCell ref="A23:D23"/>
    <mergeCell ref="E23:F23"/>
    <mergeCell ref="Z23:AC23"/>
    <mergeCell ref="B3:F3"/>
    <mergeCell ref="B2:F2"/>
    <mergeCell ref="A5:F5"/>
    <mergeCell ref="C10:D10"/>
    <mergeCell ref="E10:F10"/>
    <mergeCell ref="A10:A11"/>
    <mergeCell ref="B10:B11"/>
  </mergeCells>
  <printOptions horizontalCentered="1"/>
  <pageMargins left="0.34" right="0.27" top="1.33" bottom="0" header="1.03" footer="0.31496062992126"/>
  <pageSetup horizontalDpi="600" verticalDpi="600" orientation="landscape" paperSize="9" scale="105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view="pageBreakPreview" zoomScaleNormal="85" zoomScaleSheetLayoutView="100" zoomScalePageLayoutView="0" workbookViewId="0" topLeftCell="A4">
      <selection activeCell="J10" sqref="J10"/>
    </sheetView>
  </sheetViews>
  <sheetFormatPr defaultColWidth="9.140625" defaultRowHeight="12.75"/>
  <cols>
    <col min="1" max="1" width="5.57421875" style="0" customWidth="1"/>
    <col min="2" max="2" width="14.8515625" style="0" customWidth="1"/>
    <col min="3" max="3" width="16.421875" style="0" customWidth="1"/>
    <col min="4" max="4" width="10.8515625" style="0" customWidth="1"/>
    <col min="5" max="5" width="13.7109375" style="0" customWidth="1"/>
    <col min="6" max="6" width="14.28125" style="0" customWidth="1"/>
    <col min="7" max="7" width="11.421875" style="0" customWidth="1"/>
    <col min="8" max="8" width="12.28125" style="0" customWidth="1"/>
    <col min="9" max="9" width="16.28125" style="0" customWidth="1"/>
    <col min="10" max="10" width="19.28125" style="0" customWidth="1"/>
  </cols>
  <sheetData>
    <row r="1" spans="1:13" ht="15">
      <c r="A1" s="89"/>
      <c r="B1" s="89"/>
      <c r="C1" s="89"/>
      <c r="D1" s="833"/>
      <c r="E1" s="833"/>
      <c r="F1" s="42"/>
      <c r="G1" s="833" t="s">
        <v>448</v>
      </c>
      <c r="H1" s="833"/>
      <c r="I1" s="833"/>
      <c r="J1" s="833"/>
      <c r="K1" s="102"/>
      <c r="L1" s="89"/>
      <c r="M1" s="89"/>
    </row>
    <row r="2" spans="1:13" ht="15.75">
      <c r="A2" s="731" t="s">
        <v>0</v>
      </c>
      <c r="B2" s="731"/>
      <c r="C2" s="731"/>
      <c r="D2" s="731"/>
      <c r="E2" s="731"/>
      <c r="F2" s="731"/>
      <c r="G2" s="731"/>
      <c r="H2" s="731"/>
      <c r="I2" s="731"/>
      <c r="J2" s="731"/>
      <c r="K2" s="89"/>
      <c r="L2" s="89"/>
      <c r="M2" s="89"/>
    </row>
    <row r="3" spans="1:13" ht="18">
      <c r="A3" s="125"/>
      <c r="B3" s="125"/>
      <c r="C3" s="932" t="s">
        <v>878</v>
      </c>
      <c r="D3" s="932"/>
      <c r="E3" s="932"/>
      <c r="F3" s="932"/>
      <c r="G3" s="932"/>
      <c r="H3" s="932"/>
      <c r="I3" s="932"/>
      <c r="J3" s="125"/>
      <c r="K3" s="89"/>
      <c r="L3" s="89"/>
      <c r="M3" s="89"/>
    </row>
    <row r="4" spans="1:13" ht="18">
      <c r="A4" s="125"/>
      <c r="B4" s="125"/>
      <c r="C4" s="298"/>
      <c r="D4" s="298"/>
      <c r="E4" s="298"/>
      <c r="F4" s="298"/>
      <c r="G4" s="298"/>
      <c r="H4" s="298"/>
      <c r="I4" s="298"/>
      <c r="J4" s="125"/>
      <c r="K4" s="89"/>
      <c r="L4" s="89"/>
      <c r="M4" s="89"/>
    </row>
    <row r="5" spans="1:13" ht="15.75">
      <c r="A5" s="733" t="s">
        <v>447</v>
      </c>
      <c r="B5" s="733"/>
      <c r="C5" s="733"/>
      <c r="D5" s="733"/>
      <c r="E5" s="733"/>
      <c r="F5" s="733"/>
      <c r="G5" s="733"/>
      <c r="H5" s="733"/>
      <c r="I5" s="733"/>
      <c r="J5" s="733"/>
      <c r="K5" s="89"/>
      <c r="L5" s="89"/>
      <c r="M5" s="89"/>
    </row>
    <row r="6" spans="1:13" ht="15.75">
      <c r="A6" s="91"/>
      <c r="B6" s="91"/>
      <c r="C6" s="91"/>
      <c r="D6" s="91"/>
      <c r="E6" s="91"/>
      <c r="F6" s="91"/>
      <c r="G6" s="91"/>
      <c r="H6" s="91"/>
      <c r="I6" s="91"/>
      <c r="J6" s="91"/>
      <c r="K6" s="89"/>
      <c r="L6" s="89"/>
      <c r="M6" s="89"/>
    </row>
    <row r="7" spans="1:13" ht="15.75">
      <c r="A7" s="668" t="s">
        <v>472</v>
      </c>
      <c r="B7" s="668"/>
      <c r="C7" s="91"/>
      <c r="D7" s="91"/>
      <c r="E7" s="91"/>
      <c r="F7" s="91"/>
      <c r="G7" s="91"/>
      <c r="H7" s="91"/>
      <c r="I7" s="91"/>
      <c r="J7" s="91"/>
      <c r="K7" s="89"/>
      <c r="L7" s="89"/>
      <c r="M7" s="89"/>
    </row>
    <row r="8" spans="1:13" ht="18">
      <c r="A8" s="92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1:13" s="260" customFormat="1" ht="21.75" customHeight="1">
      <c r="A9" s="927" t="s">
        <v>2</v>
      </c>
      <c r="B9" s="927" t="s">
        <v>3</v>
      </c>
      <c r="C9" s="929" t="s">
        <v>138</v>
      </c>
      <c r="D9" s="930"/>
      <c r="E9" s="930"/>
      <c r="F9" s="930"/>
      <c r="G9" s="930"/>
      <c r="H9" s="930"/>
      <c r="I9" s="930"/>
      <c r="J9" s="931"/>
      <c r="K9" s="310"/>
      <c r="L9" s="310"/>
      <c r="M9" s="310"/>
    </row>
    <row r="10" spans="1:13" s="260" customFormat="1" ht="32.25" customHeight="1">
      <c r="A10" s="928"/>
      <c r="B10" s="928"/>
      <c r="C10" s="262" t="s">
        <v>193</v>
      </c>
      <c r="D10" s="262" t="s">
        <v>117</v>
      </c>
      <c r="E10" s="262" t="s">
        <v>388</v>
      </c>
      <c r="F10" s="311" t="s">
        <v>166</v>
      </c>
      <c r="G10" s="311" t="s">
        <v>118</v>
      </c>
      <c r="H10" s="312" t="s">
        <v>192</v>
      </c>
      <c r="I10" s="312" t="s">
        <v>687</v>
      </c>
      <c r="J10" s="313" t="s">
        <v>16</v>
      </c>
      <c r="K10" s="314"/>
      <c r="L10" s="314"/>
      <c r="M10" s="314"/>
    </row>
    <row r="11" spans="1:13" s="15" customFormat="1" ht="12.75">
      <c r="A11" s="94">
        <v>1</v>
      </c>
      <c r="B11" s="94">
        <v>2</v>
      </c>
      <c r="C11" s="94">
        <v>3</v>
      </c>
      <c r="D11" s="94">
        <v>4</v>
      </c>
      <c r="E11" s="94">
        <v>5</v>
      </c>
      <c r="F11" s="94">
        <v>6</v>
      </c>
      <c r="G11" s="94">
        <v>7</v>
      </c>
      <c r="H11" s="96">
        <v>8</v>
      </c>
      <c r="I11" s="96">
        <v>9</v>
      </c>
      <c r="J11" s="95">
        <v>10</v>
      </c>
      <c r="K11" s="101"/>
      <c r="L11" s="101"/>
      <c r="M11" s="101"/>
    </row>
    <row r="12" spans="1:13" ht="12.75">
      <c r="A12" s="8">
        <v>1</v>
      </c>
      <c r="B12" s="19" t="s">
        <v>473</v>
      </c>
      <c r="C12" s="97">
        <v>1</v>
      </c>
      <c r="D12" s="97">
        <v>0</v>
      </c>
      <c r="E12" s="97">
        <v>0</v>
      </c>
      <c r="F12" s="97">
        <v>0</v>
      </c>
      <c r="G12" s="97">
        <v>0</v>
      </c>
      <c r="H12" s="147">
        <v>0</v>
      </c>
      <c r="I12" s="147">
        <f>J12-(C12+D12+E12+F12+G12+H12)</f>
        <v>916</v>
      </c>
      <c r="J12" s="98">
        <f>'AT-3'!G9</f>
        <v>917</v>
      </c>
      <c r="K12" s="89"/>
      <c r="L12" s="89"/>
      <c r="M12" s="89"/>
    </row>
    <row r="13" spans="1:13" ht="12.75">
      <c r="A13" s="8">
        <v>2</v>
      </c>
      <c r="B13" s="19" t="s">
        <v>474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147">
        <v>0</v>
      </c>
      <c r="I13" s="147">
        <f aca="true" t="shared" si="0" ref="I13:I19">J13-(C13+D13+E13+F13+G13+H13)</f>
        <v>875</v>
      </c>
      <c r="J13" s="98">
        <f>'AT-3'!G10</f>
        <v>875</v>
      </c>
      <c r="K13" s="89"/>
      <c r="L13" s="89"/>
      <c r="M13" s="89"/>
    </row>
    <row r="14" spans="1:13" ht="12.75">
      <c r="A14" s="8">
        <v>3</v>
      </c>
      <c r="B14" s="19" t="s">
        <v>475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147">
        <v>0</v>
      </c>
      <c r="I14" s="147">
        <f t="shared" si="0"/>
        <v>668</v>
      </c>
      <c r="J14" s="98">
        <f>'AT-3'!G11</f>
        <v>668</v>
      </c>
      <c r="K14" s="89"/>
      <c r="L14" s="89"/>
      <c r="M14" s="89"/>
    </row>
    <row r="15" spans="1:13" ht="12.75">
      <c r="A15" s="8">
        <v>4</v>
      </c>
      <c r="B15" s="19" t="s">
        <v>476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147">
        <v>0</v>
      </c>
      <c r="I15" s="147">
        <f t="shared" si="0"/>
        <v>810</v>
      </c>
      <c r="J15" s="98">
        <f>'AT-3'!G12</f>
        <v>810</v>
      </c>
      <c r="K15" s="89"/>
      <c r="L15" s="89"/>
      <c r="M15" s="89"/>
    </row>
    <row r="16" spans="1:13" ht="12.75">
      <c r="A16" s="8">
        <v>5</v>
      </c>
      <c r="B16" s="19" t="s">
        <v>477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147">
        <v>0</v>
      </c>
      <c r="I16" s="147">
        <f t="shared" si="0"/>
        <v>925</v>
      </c>
      <c r="J16" s="98">
        <f>'AT-3'!G13</f>
        <v>925</v>
      </c>
      <c r="K16" s="89"/>
      <c r="L16" s="89"/>
      <c r="M16" s="89"/>
    </row>
    <row r="17" spans="1:13" ht="12.75">
      <c r="A17" s="8">
        <v>6</v>
      </c>
      <c r="B17" s="19" t="s">
        <v>478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147">
        <v>0</v>
      </c>
      <c r="I17" s="147">
        <f t="shared" si="0"/>
        <v>470</v>
      </c>
      <c r="J17" s="98">
        <f>'AT-3'!G14</f>
        <v>470</v>
      </c>
      <c r="K17" s="89"/>
      <c r="L17" s="89"/>
      <c r="M17" s="89"/>
    </row>
    <row r="18" spans="1:13" ht="12.75">
      <c r="A18" s="8">
        <v>7</v>
      </c>
      <c r="B18" s="19" t="s">
        <v>479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147">
        <v>0</v>
      </c>
      <c r="I18" s="147">
        <f t="shared" si="0"/>
        <v>719</v>
      </c>
      <c r="J18" s="98">
        <f>'AT-3'!G15</f>
        <v>719</v>
      </c>
      <c r="K18" s="89"/>
      <c r="L18" s="89"/>
      <c r="M18" s="89"/>
    </row>
    <row r="19" spans="1:13" ht="12.75">
      <c r="A19" s="8">
        <v>8</v>
      </c>
      <c r="B19" s="19" t="s">
        <v>480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147">
        <v>0</v>
      </c>
      <c r="I19" s="147">
        <f t="shared" si="0"/>
        <v>1140</v>
      </c>
      <c r="J19" s="98">
        <f>'AT-3'!G16</f>
        <v>1140</v>
      </c>
      <c r="K19" s="89"/>
      <c r="L19" s="89"/>
      <c r="M19" s="89"/>
    </row>
    <row r="20" spans="1:13" ht="12.75">
      <c r="A20" s="3"/>
      <c r="B20" s="27" t="s">
        <v>481</v>
      </c>
      <c r="C20" s="97">
        <f>SUM(C12:C19)</f>
        <v>1</v>
      </c>
      <c r="D20" s="97">
        <f aca="true" t="shared" si="1" ref="D20:J20">SUM(D12:D19)</f>
        <v>0</v>
      </c>
      <c r="E20" s="97">
        <f t="shared" si="1"/>
        <v>0</v>
      </c>
      <c r="F20" s="97">
        <f t="shared" si="1"/>
        <v>0</v>
      </c>
      <c r="G20" s="97">
        <f t="shared" si="1"/>
        <v>0</v>
      </c>
      <c r="H20" s="97">
        <f t="shared" si="1"/>
        <v>0</v>
      </c>
      <c r="I20" s="97">
        <f t="shared" si="1"/>
        <v>6523</v>
      </c>
      <c r="J20" s="97">
        <f t="shared" si="1"/>
        <v>6524</v>
      </c>
      <c r="K20" s="89"/>
      <c r="L20" s="89"/>
      <c r="M20" s="89"/>
    </row>
    <row r="21" spans="1:13" ht="12.75">
      <c r="A21" s="89"/>
      <c r="B21" s="89"/>
      <c r="C21" s="89"/>
      <c r="D21" s="89"/>
      <c r="E21" s="89"/>
      <c r="F21" s="89"/>
      <c r="G21" s="89"/>
      <c r="H21" s="89"/>
      <c r="I21" s="89"/>
      <c r="J21" s="89" t="s">
        <v>11</v>
      </c>
      <c r="K21" s="89"/>
      <c r="L21" s="89"/>
      <c r="M21" s="89"/>
    </row>
    <row r="22" spans="1:13" ht="12.75">
      <c r="A22" s="89" t="s">
        <v>119</v>
      </c>
      <c r="B22" s="89"/>
      <c r="C22" s="89"/>
      <c r="D22" s="89"/>
      <c r="E22" s="89"/>
      <c r="F22" s="89"/>
      <c r="G22" s="89"/>
      <c r="H22" s="89"/>
      <c r="I22" s="89" t="s">
        <v>11</v>
      </c>
      <c r="J22" s="89"/>
      <c r="K22" s="89"/>
      <c r="L22" s="89"/>
      <c r="M22" s="89"/>
    </row>
    <row r="23" spans="1:13" ht="12.75">
      <c r="A23" s="89" t="s">
        <v>194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</row>
    <row r="24" ht="12.75">
      <c r="A24" t="s">
        <v>120</v>
      </c>
    </row>
    <row r="25" spans="1:13" ht="12.75">
      <c r="A25" s="920" t="s">
        <v>121</v>
      </c>
      <c r="B25" s="920"/>
      <c r="C25" s="920"/>
      <c r="D25" s="920"/>
      <c r="E25" s="920"/>
      <c r="F25" s="920"/>
      <c r="G25" s="920"/>
      <c r="H25" s="920"/>
      <c r="I25" s="920"/>
      <c r="J25" s="920"/>
      <c r="K25" s="920"/>
      <c r="L25" s="920"/>
      <c r="M25" s="920"/>
    </row>
    <row r="26" spans="1:13" ht="12.75">
      <c r="A26" s="925" t="s">
        <v>122</v>
      </c>
      <c r="B26" s="925"/>
      <c r="C26" s="925"/>
      <c r="D26" s="925"/>
      <c r="E26" s="89"/>
      <c r="F26" s="89"/>
      <c r="G26" s="89"/>
      <c r="H26" s="89"/>
      <c r="I26" s="89"/>
      <c r="J26" s="89"/>
      <c r="K26" s="89"/>
      <c r="L26" s="89"/>
      <c r="M26" s="89"/>
    </row>
    <row r="27" spans="1:13" ht="12.75">
      <c r="A27" s="130" t="s">
        <v>167</v>
      </c>
      <c r="B27" s="130"/>
      <c r="C27" s="130"/>
      <c r="D27" s="130"/>
      <c r="E27" s="89"/>
      <c r="F27" s="89"/>
      <c r="G27" s="89"/>
      <c r="H27" s="89"/>
      <c r="I27" s="89"/>
      <c r="J27" s="89"/>
      <c r="K27" s="89"/>
      <c r="L27" s="89"/>
      <c r="M27" s="89"/>
    </row>
    <row r="28" spans="1:13" ht="12.75">
      <c r="A28" s="130"/>
      <c r="B28" s="130"/>
      <c r="C28" s="130"/>
      <c r="D28" s="130"/>
      <c r="E28" s="89"/>
      <c r="F28" s="89"/>
      <c r="G28" s="89"/>
      <c r="H28" s="89"/>
      <c r="I28" s="89"/>
      <c r="J28" s="89"/>
      <c r="K28" s="89"/>
      <c r="L28" s="89"/>
      <c r="M28" s="89"/>
    </row>
    <row r="29" spans="1:13" ht="15">
      <c r="A29" s="365" t="s">
        <v>514</v>
      </c>
      <c r="B29" s="130"/>
      <c r="C29" s="130"/>
      <c r="D29" s="130"/>
      <c r="E29" s="89"/>
      <c r="F29" s="89"/>
      <c r="G29" s="89"/>
      <c r="H29" s="89"/>
      <c r="I29" s="89"/>
      <c r="J29" s="89"/>
      <c r="K29" s="89"/>
      <c r="L29" s="89"/>
      <c r="M29" s="89"/>
    </row>
    <row r="30" spans="1:13" s="16" customFormat="1" ht="12.75">
      <c r="A30" s="101" t="s">
        <v>12</v>
      </c>
      <c r="B30" s="101"/>
      <c r="C30" s="101"/>
      <c r="D30" s="101"/>
      <c r="E30" s="101"/>
      <c r="F30" s="101"/>
      <c r="G30" s="101"/>
      <c r="H30" s="101"/>
      <c r="I30" s="926"/>
      <c r="J30" s="926"/>
      <c r="K30" s="318"/>
      <c r="L30" s="156"/>
      <c r="M30" s="156"/>
    </row>
    <row r="31" spans="2:13" s="16" customFormat="1" ht="12.75">
      <c r="B31" s="318"/>
      <c r="C31" s="318"/>
      <c r="D31" s="318"/>
      <c r="E31" s="318"/>
      <c r="F31" s="318"/>
      <c r="G31" s="318"/>
      <c r="H31" s="318"/>
      <c r="I31" s="926" t="s">
        <v>1062</v>
      </c>
      <c r="J31" s="926"/>
      <c r="K31" s="156"/>
      <c r="L31" s="156"/>
      <c r="M31" s="156"/>
    </row>
    <row r="32" spans="2:13" s="16" customFormat="1" ht="12.75">
      <c r="B32" s="318"/>
      <c r="C32" s="318"/>
      <c r="D32" s="318"/>
      <c r="E32" s="318"/>
      <c r="F32" s="318"/>
      <c r="G32" s="318"/>
      <c r="H32" s="318"/>
      <c r="I32" s="926" t="s">
        <v>485</v>
      </c>
      <c r="J32" s="926"/>
      <c r="K32" s="318"/>
      <c r="L32" s="156"/>
      <c r="M32" s="156"/>
    </row>
    <row r="33" spans="1:13" s="16" customFormat="1" ht="12.75">
      <c r="A33" s="156"/>
      <c r="B33" s="156"/>
      <c r="C33" s="156"/>
      <c r="D33" s="156"/>
      <c r="E33" s="156"/>
      <c r="F33" s="156"/>
      <c r="G33" s="676" t="s">
        <v>80</v>
      </c>
      <c r="H33" s="676"/>
      <c r="I33" s="676"/>
      <c r="J33" s="676"/>
      <c r="K33" s="31"/>
      <c r="L33" s="31"/>
      <c r="M33" s="156"/>
    </row>
    <row r="34" spans="1:13" s="16" customFormat="1" ht="12.75">
      <c r="A34" s="924"/>
      <c r="B34" s="924"/>
      <c r="C34" s="924"/>
      <c r="D34" s="924"/>
      <c r="E34" s="924"/>
      <c r="F34" s="924"/>
      <c r="G34" s="924"/>
      <c r="H34" s="924"/>
      <c r="I34" s="924"/>
      <c r="J34" s="924"/>
      <c r="K34" s="156"/>
      <c r="L34" s="156"/>
      <c r="M34" s="156"/>
    </row>
  </sheetData>
  <sheetProtection/>
  <mergeCells count="18">
    <mergeCell ref="D1:E1"/>
    <mergeCell ref="G1:J1"/>
    <mergeCell ref="A2:J2"/>
    <mergeCell ref="A5:J5"/>
    <mergeCell ref="A7:B7"/>
    <mergeCell ref="K25:M25"/>
    <mergeCell ref="A9:A10"/>
    <mergeCell ref="B9:B10"/>
    <mergeCell ref="C9:J9"/>
    <mergeCell ref="C3:I3"/>
    <mergeCell ref="G33:J33"/>
    <mergeCell ref="A34:J34"/>
    <mergeCell ref="A25:D25"/>
    <mergeCell ref="E25:J25"/>
    <mergeCell ref="A26:D26"/>
    <mergeCell ref="I31:J31"/>
    <mergeCell ref="I32:J32"/>
    <mergeCell ref="I30:J30"/>
  </mergeCells>
  <printOptions horizontalCentered="1"/>
  <pageMargins left="0.7086614173228347" right="0.28" top="0.9" bottom="0" header="0.63" footer="0.31496062992125984"/>
  <pageSetup fitToHeight="1" fitToWidth="1"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view="pageBreakPreview" zoomScale="90" zoomScaleNormal="85" zoomScaleSheetLayoutView="90" zoomScalePageLayoutView="0" workbookViewId="0" topLeftCell="A1">
      <selection activeCell="J27" sqref="J27:M27"/>
    </sheetView>
  </sheetViews>
  <sheetFormatPr defaultColWidth="9.140625" defaultRowHeight="12.75"/>
  <cols>
    <col min="1" max="1" width="6.140625" style="0" customWidth="1"/>
    <col min="2" max="2" width="14.421875" style="0" customWidth="1"/>
    <col min="3" max="3" width="13.7109375" style="0" customWidth="1"/>
    <col min="4" max="4" width="17.00390625" style="0" customWidth="1"/>
    <col min="5" max="5" width="14.7109375" style="0" customWidth="1"/>
    <col min="6" max="6" width="11.421875" style="0" customWidth="1"/>
    <col min="7" max="7" width="13.140625" style="0" customWidth="1"/>
    <col min="8" max="9" width="17.00390625" style="0" customWidth="1"/>
    <col min="10" max="11" width="12.7109375" style="0" customWidth="1"/>
    <col min="12" max="12" width="17.00390625" style="0" customWidth="1"/>
    <col min="13" max="13" width="16.421875" style="0" customWidth="1"/>
  </cols>
  <sheetData>
    <row r="1" spans="1:16" ht="1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33" t="s">
        <v>123</v>
      </c>
      <c r="M1" s="833"/>
      <c r="N1" s="102"/>
      <c r="O1" s="89"/>
      <c r="P1" s="89"/>
    </row>
    <row r="2" spans="1:16" ht="15.75">
      <c r="A2" s="731" t="s">
        <v>0</v>
      </c>
      <c r="B2" s="731"/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89"/>
      <c r="O2" s="89"/>
      <c r="P2" s="89"/>
    </row>
    <row r="3" spans="1:16" ht="20.25">
      <c r="A3" s="732" t="s">
        <v>878</v>
      </c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89"/>
      <c r="O3" s="89"/>
      <c r="P3" s="89"/>
    </row>
    <row r="4" spans="1:16" ht="12.7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16" ht="15.75">
      <c r="A5" s="733" t="s">
        <v>637</v>
      </c>
      <c r="B5" s="733"/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89"/>
      <c r="O5" s="89"/>
      <c r="P5" s="89"/>
    </row>
    <row r="6" spans="1:16" ht="12.7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</row>
    <row r="7" spans="1:16" ht="12.75">
      <c r="A7" s="668" t="s">
        <v>472</v>
      </c>
      <c r="B7" s="668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</row>
    <row r="8" spans="1:16" ht="18">
      <c r="A8" s="92"/>
      <c r="B8" s="92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</row>
    <row r="9" spans="1:26" s="260" customFormat="1" ht="19.5" customHeight="1">
      <c r="A9" s="751" t="s">
        <v>2</v>
      </c>
      <c r="B9" s="751" t="s">
        <v>3</v>
      </c>
      <c r="C9" s="933" t="s">
        <v>117</v>
      </c>
      <c r="D9" s="933"/>
      <c r="E9" s="917"/>
      <c r="F9" s="933" t="s">
        <v>118</v>
      </c>
      <c r="G9" s="933"/>
      <c r="H9" s="933"/>
      <c r="I9" s="917"/>
      <c r="J9" s="751" t="s">
        <v>192</v>
      </c>
      <c r="K9" s="751"/>
      <c r="L9" s="751"/>
      <c r="M9" s="751"/>
      <c r="N9" s="310"/>
      <c r="O9" s="310"/>
      <c r="P9" s="310"/>
      <c r="Y9" s="268"/>
      <c r="Z9" s="269"/>
    </row>
    <row r="10" spans="1:16" s="260" customFormat="1" ht="36.75" customHeight="1">
      <c r="A10" s="751"/>
      <c r="B10" s="751"/>
      <c r="C10" s="296" t="s">
        <v>389</v>
      </c>
      <c r="D10" s="295" t="s">
        <v>387</v>
      </c>
      <c r="E10" s="296" t="s">
        <v>195</v>
      </c>
      <c r="F10" s="296" t="s">
        <v>718</v>
      </c>
      <c r="G10" s="295" t="s">
        <v>386</v>
      </c>
      <c r="H10" s="295" t="s">
        <v>387</v>
      </c>
      <c r="I10" s="296" t="s">
        <v>195</v>
      </c>
      <c r="J10" s="257" t="s">
        <v>719</v>
      </c>
      <c r="K10" s="295" t="s">
        <v>386</v>
      </c>
      <c r="L10" s="257" t="s">
        <v>387</v>
      </c>
      <c r="M10" s="257" t="s">
        <v>195</v>
      </c>
      <c r="N10" s="314"/>
      <c r="O10" s="314"/>
      <c r="P10" s="314"/>
    </row>
    <row r="11" spans="1:16" s="15" customFormat="1" ht="12.75">
      <c r="A11" s="94">
        <v>1</v>
      </c>
      <c r="B11" s="94">
        <v>2</v>
      </c>
      <c r="C11" s="94">
        <v>3</v>
      </c>
      <c r="D11" s="94">
        <v>4</v>
      </c>
      <c r="E11" s="94">
        <v>5</v>
      </c>
      <c r="F11" s="94">
        <v>6</v>
      </c>
      <c r="G11" s="94">
        <v>7</v>
      </c>
      <c r="H11" s="94">
        <v>8</v>
      </c>
      <c r="I11" s="94">
        <v>9</v>
      </c>
      <c r="J11" s="94">
        <v>10</v>
      </c>
      <c r="K11" s="94">
        <v>11</v>
      </c>
      <c r="L11" s="94">
        <v>12</v>
      </c>
      <c r="M11" s="94">
        <v>13</v>
      </c>
      <c r="N11" s="101"/>
      <c r="O11" s="101"/>
      <c r="P11" s="101"/>
    </row>
    <row r="12" spans="1:16" ht="12.75">
      <c r="A12" s="8">
        <v>1</v>
      </c>
      <c r="B12" s="19" t="s">
        <v>473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89"/>
      <c r="O12" s="89"/>
      <c r="P12" s="89"/>
    </row>
    <row r="13" spans="1:16" ht="12.75">
      <c r="A13" s="8">
        <v>2</v>
      </c>
      <c r="B13" s="19" t="s">
        <v>474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89"/>
      <c r="O13" s="89"/>
      <c r="P13" s="89"/>
    </row>
    <row r="14" spans="1:16" ht="12.75">
      <c r="A14" s="8">
        <v>3</v>
      </c>
      <c r="B14" s="19" t="s">
        <v>475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89"/>
      <c r="O14" s="89"/>
      <c r="P14" s="89"/>
    </row>
    <row r="15" spans="1:16" ht="12.75">
      <c r="A15" s="8">
        <v>4</v>
      </c>
      <c r="B15" s="19" t="s">
        <v>476</v>
      </c>
      <c r="C15" s="97"/>
      <c r="D15" s="934" t="s">
        <v>509</v>
      </c>
      <c r="E15" s="935"/>
      <c r="F15" s="935"/>
      <c r="G15" s="935"/>
      <c r="H15" s="935"/>
      <c r="I15" s="935"/>
      <c r="J15" s="936"/>
      <c r="K15" s="473"/>
      <c r="L15" s="97"/>
      <c r="M15" s="97"/>
      <c r="N15" s="89"/>
      <c r="O15" s="89"/>
      <c r="P15" s="89"/>
    </row>
    <row r="16" spans="1:16" ht="12.75">
      <c r="A16" s="8">
        <v>5</v>
      </c>
      <c r="B16" s="19" t="s">
        <v>477</v>
      </c>
      <c r="C16" s="97"/>
      <c r="D16" s="937"/>
      <c r="E16" s="938"/>
      <c r="F16" s="938"/>
      <c r="G16" s="938"/>
      <c r="H16" s="938"/>
      <c r="I16" s="938"/>
      <c r="J16" s="939"/>
      <c r="K16" s="474"/>
      <c r="L16" s="97"/>
      <c r="M16" s="97"/>
      <c r="N16" s="89"/>
      <c r="O16" s="89"/>
      <c r="P16" s="89"/>
    </row>
    <row r="17" spans="1:16" ht="12.75">
      <c r="A17" s="8">
        <v>6</v>
      </c>
      <c r="B17" s="19" t="s">
        <v>478</v>
      </c>
      <c r="C17" s="97"/>
      <c r="D17" s="940"/>
      <c r="E17" s="941"/>
      <c r="F17" s="941"/>
      <c r="G17" s="941"/>
      <c r="H17" s="941"/>
      <c r="I17" s="941"/>
      <c r="J17" s="942"/>
      <c r="K17" s="475"/>
      <c r="L17" s="97"/>
      <c r="M17" s="97"/>
      <c r="N17" s="89"/>
      <c r="O17" s="89"/>
      <c r="P17" s="89"/>
    </row>
    <row r="18" spans="1:16" ht="12.75">
      <c r="A18" s="8">
        <v>7</v>
      </c>
      <c r="B18" s="19" t="s">
        <v>479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89"/>
      <c r="O18" s="89"/>
      <c r="P18" s="89"/>
    </row>
    <row r="19" spans="1:16" ht="12.75">
      <c r="A19" s="8">
        <v>8</v>
      </c>
      <c r="B19" s="19" t="s">
        <v>480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89"/>
      <c r="O19" s="89"/>
      <c r="P19" s="89"/>
    </row>
    <row r="20" spans="1:16" ht="12.75">
      <c r="A20" s="3"/>
      <c r="B20" s="27" t="s">
        <v>481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89"/>
      <c r="O20" s="89"/>
      <c r="P20" s="89"/>
    </row>
    <row r="21" spans="1:16" ht="12.7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</row>
    <row r="23" spans="1:16" ht="12.75">
      <c r="A23" s="920"/>
      <c r="B23" s="920"/>
      <c r="C23" s="920"/>
      <c r="D23" s="920"/>
      <c r="E23" s="920"/>
      <c r="F23" s="920"/>
      <c r="G23" s="920"/>
      <c r="H23" s="920"/>
      <c r="I23" s="920"/>
      <c r="J23" s="920"/>
      <c r="K23" s="920"/>
      <c r="L23" s="920"/>
      <c r="M23" s="105"/>
      <c r="N23" s="920"/>
      <c r="O23" s="920"/>
      <c r="P23" s="920"/>
    </row>
    <row r="24" spans="1:16" ht="12.7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</row>
    <row r="25" spans="1:16" ht="15.75">
      <c r="A25" s="100" t="s">
        <v>12</v>
      </c>
      <c r="B25" s="100"/>
      <c r="C25" s="100"/>
      <c r="D25" s="100"/>
      <c r="E25" s="100"/>
      <c r="F25" s="100"/>
      <c r="G25" s="100"/>
      <c r="H25" s="100"/>
      <c r="I25" s="100"/>
      <c r="J25" s="915"/>
      <c r="K25" s="915"/>
      <c r="L25" s="915"/>
      <c r="M25" s="915"/>
      <c r="N25" s="131"/>
      <c r="O25" s="89"/>
      <c r="P25" s="89"/>
    </row>
    <row r="26" spans="2:16" ht="15.75" customHeight="1">
      <c r="B26" s="131"/>
      <c r="C26" s="131"/>
      <c r="D26" s="131"/>
      <c r="E26" s="131"/>
      <c r="F26" s="131"/>
      <c r="G26" s="131"/>
      <c r="H26" s="131"/>
      <c r="I26" s="131"/>
      <c r="J26" s="915" t="s">
        <v>1062</v>
      </c>
      <c r="K26" s="915"/>
      <c r="L26" s="915"/>
      <c r="M26" s="915"/>
      <c r="N26" s="89"/>
      <c r="O26" s="89"/>
      <c r="P26" s="89"/>
    </row>
    <row r="27" spans="2:16" ht="15" customHeight="1">
      <c r="B27" s="131"/>
      <c r="C27" s="131"/>
      <c r="D27" s="131"/>
      <c r="E27" s="131"/>
      <c r="F27" s="131"/>
      <c r="G27" s="131"/>
      <c r="H27" s="131"/>
      <c r="I27" s="131"/>
      <c r="J27" s="915" t="s">
        <v>485</v>
      </c>
      <c r="K27" s="915"/>
      <c r="L27" s="915"/>
      <c r="M27" s="915"/>
      <c r="N27" s="131"/>
      <c r="O27" s="89"/>
      <c r="P27" s="89"/>
    </row>
    <row r="28" spans="1:16" ht="12.75">
      <c r="A28" s="89"/>
      <c r="B28" s="89"/>
      <c r="C28" s="89"/>
      <c r="L28" s="31" t="s">
        <v>80</v>
      </c>
      <c r="M28" s="31"/>
      <c r="N28" s="31"/>
      <c r="O28" s="31"/>
      <c r="P28" s="31"/>
    </row>
  </sheetData>
  <sheetProtection/>
  <mergeCells count="16">
    <mergeCell ref="A23:L23"/>
    <mergeCell ref="F9:I9"/>
    <mergeCell ref="N23:P23"/>
    <mergeCell ref="J26:M26"/>
    <mergeCell ref="J27:M27"/>
    <mergeCell ref="J25:M25"/>
    <mergeCell ref="D15:J17"/>
    <mergeCell ref="L1:M1"/>
    <mergeCell ref="A2:M2"/>
    <mergeCell ref="A3:M3"/>
    <mergeCell ref="A5:M5"/>
    <mergeCell ref="A7:B7"/>
    <mergeCell ref="A9:A10"/>
    <mergeCell ref="B9:B10"/>
    <mergeCell ref="C9:E9"/>
    <mergeCell ref="J9:M9"/>
  </mergeCells>
  <printOptions horizontalCentered="1"/>
  <pageMargins left="0.52" right="0.27" top="1.05" bottom="0" header="0.69" footer="0.31496062992125984"/>
  <pageSetup fitToHeight="1" fitToWidth="1" horizontalDpi="600" verticalDpi="600" orientation="landscape" paperSize="9" scale="77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view="pageBreakPreview" zoomScale="90" zoomScaleSheetLayoutView="90" zoomScalePageLayoutView="0" workbookViewId="0" topLeftCell="A4">
      <selection activeCell="I25" sqref="I25:K25"/>
    </sheetView>
  </sheetViews>
  <sheetFormatPr defaultColWidth="9.140625" defaultRowHeight="12.75"/>
  <cols>
    <col min="1" max="1" width="5.8515625" style="0" customWidth="1"/>
    <col min="2" max="2" width="14.8515625" style="0" customWidth="1"/>
    <col min="3" max="3" width="11.140625" style="0" customWidth="1"/>
    <col min="4" max="4" width="10.57421875" style="0" customWidth="1"/>
    <col min="5" max="5" width="10.140625" style="0" customWidth="1"/>
    <col min="6" max="6" width="13.421875" style="0" customWidth="1"/>
    <col min="7" max="7" width="17.57421875" style="0" customWidth="1"/>
    <col min="8" max="8" width="12.421875" style="0" customWidth="1"/>
    <col min="9" max="9" width="15.28125" style="0" customWidth="1"/>
    <col min="10" max="10" width="17.140625" style="0" customWidth="1"/>
    <col min="11" max="11" width="16.57421875" style="0" customWidth="1"/>
    <col min="12" max="12" width="9.140625" style="0" hidden="1" customWidth="1"/>
  </cols>
  <sheetData>
    <row r="1" spans="10:11" ht="18">
      <c r="J1" s="395"/>
      <c r="K1" s="395" t="s">
        <v>720</v>
      </c>
    </row>
    <row r="2" spans="1:11" ht="18">
      <c r="A2" s="760" t="s">
        <v>0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</row>
    <row r="3" spans="1:11" ht="21">
      <c r="A3" s="761" t="s">
        <v>878</v>
      </c>
      <c r="B3" s="761"/>
      <c r="C3" s="761"/>
      <c r="D3" s="761"/>
      <c r="E3" s="761"/>
      <c r="F3" s="761"/>
      <c r="G3" s="761"/>
      <c r="H3" s="761"/>
      <c r="I3" s="761"/>
      <c r="J3" s="761"/>
      <c r="K3" s="761"/>
    </row>
    <row r="4" spans="1:11" ht="9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spans="1:11" ht="15">
      <c r="A5" s="952" t="s">
        <v>721</v>
      </c>
      <c r="B5" s="952"/>
      <c r="C5" s="952"/>
      <c r="D5" s="952"/>
      <c r="E5" s="952"/>
      <c r="F5" s="952"/>
      <c r="G5" s="952"/>
      <c r="H5" s="952"/>
      <c r="I5" s="952"/>
      <c r="J5" s="952"/>
      <c r="K5" s="952"/>
    </row>
    <row r="6" spans="1:12" ht="15">
      <c r="A6" s="184" t="s">
        <v>512</v>
      </c>
      <c r="B6" s="184"/>
      <c r="C6" s="184"/>
      <c r="D6" s="184"/>
      <c r="E6" s="184"/>
      <c r="F6" s="184"/>
      <c r="G6" s="184"/>
      <c r="H6" s="184"/>
      <c r="I6" s="183"/>
      <c r="J6" s="849" t="s">
        <v>931</v>
      </c>
      <c r="K6" s="849"/>
      <c r="L6" s="849"/>
    </row>
    <row r="7" spans="1:12" ht="15">
      <c r="A7" s="184"/>
      <c r="B7" s="184"/>
      <c r="C7" s="184"/>
      <c r="D7" s="184"/>
      <c r="E7" s="184"/>
      <c r="F7" s="184"/>
      <c r="G7" s="184"/>
      <c r="H7" s="184"/>
      <c r="I7" s="183"/>
      <c r="J7" s="334"/>
      <c r="K7" s="334"/>
      <c r="L7" s="362"/>
    </row>
    <row r="8" spans="1:11" s="260" customFormat="1" ht="32.25" customHeight="1">
      <c r="A8" s="872" t="s">
        <v>2</v>
      </c>
      <c r="B8" s="872" t="s">
        <v>3</v>
      </c>
      <c r="C8" s="872" t="s">
        <v>297</v>
      </c>
      <c r="D8" s="872" t="s">
        <v>298</v>
      </c>
      <c r="E8" s="872"/>
      <c r="F8" s="872"/>
      <c r="G8" s="872"/>
      <c r="H8" s="872"/>
      <c r="I8" s="866" t="s">
        <v>299</v>
      </c>
      <c r="J8" s="867"/>
      <c r="K8" s="868"/>
    </row>
    <row r="9" spans="1:11" s="260" customFormat="1" ht="82.5" customHeight="1">
      <c r="A9" s="872"/>
      <c r="B9" s="872"/>
      <c r="C9" s="872"/>
      <c r="D9" s="357" t="s">
        <v>300</v>
      </c>
      <c r="E9" s="357" t="s">
        <v>195</v>
      </c>
      <c r="F9" s="357" t="s">
        <v>450</v>
      </c>
      <c r="G9" s="357" t="s">
        <v>301</v>
      </c>
      <c r="H9" s="357" t="s">
        <v>422</v>
      </c>
      <c r="I9" s="357" t="s">
        <v>302</v>
      </c>
      <c r="J9" s="357" t="s">
        <v>303</v>
      </c>
      <c r="K9" s="357" t="s">
        <v>304</v>
      </c>
    </row>
    <row r="10" spans="1:11" ht="15">
      <c r="A10" s="185" t="s">
        <v>260</v>
      </c>
      <c r="B10" s="185" t="s">
        <v>261</v>
      </c>
      <c r="C10" s="185" t="s">
        <v>262</v>
      </c>
      <c r="D10" s="185" t="s">
        <v>263</v>
      </c>
      <c r="E10" s="185" t="s">
        <v>264</v>
      </c>
      <c r="F10" s="185" t="s">
        <v>265</v>
      </c>
      <c r="G10" s="185" t="s">
        <v>266</v>
      </c>
      <c r="H10" s="185" t="s">
        <v>267</v>
      </c>
      <c r="I10" s="185" t="s">
        <v>286</v>
      </c>
      <c r="J10" s="185" t="s">
        <v>287</v>
      </c>
      <c r="K10" s="185" t="s">
        <v>288</v>
      </c>
    </row>
    <row r="11" spans="1:11" ht="12.75">
      <c r="A11" s="8">
        <v>1</v>
      </c>
      <c r="B11" s="19" t="s">
        <v>473</v>
      </c>
      <c r="C11" s="9"/>
      <c r="D11" s="9"/>
      <c r="E11" s="9"/>
      <c r="F11" s="9"/>
      <c r="G11" s="9"/>
      <c r="H11" s="9"/>
      <c r="I11" s="9"/>
      <c r="J11" s="9"/>
      <c r="K11" s="9"/>
    </row>
    <row r="12" spans="1:11" ht="12.75">
      <c r="A12" s="8">
        <v>2</v>
      </c>
      <c r="B12" s="19" t="s">
        <v>474</v>
      </c>
      <c r="C12" s="9"/>
      <c r="D12" s="9"/>
      <c r="E12" s="9"/>
      <c r="F12" s="9"/>
      <c r="G12" s="9"/>
      <c r="H12" s="9"/>
      <c r="I12" s="9"/>
      <c r="J12" s="9"/>
      <c r="K12" s="9"/>
    </row>
    <row r="13" spans="1:11" ht="12.75">
      <c r="A13" s="8">
        <v>3</v>
      </c>
      <c r="B13" s="19" t="s">
        <v>475</v>
      </c>
      <c r="C13" s="9"/>
      <c r="D13" s="9"/>
      <c r="E13" s="9"/>
      <c r="F13" s="943" t="s">
        <v>509</v>
      </c>
      <c r="G13" s="944"/>
      <c r="H13" s="944"/>
      <c r="I13" s="945"/>
      <c r="J13" s="9"/>
      <c r="K13" s="9"/>
    </row>
    <row r="14" spans="1:11" ht="12.75">
      <c r="A14" s="8">
        <v>4</v>
      </c>
      <c r="B14" s="19" t="s">
        <v>476</v>
      </c>
      <c r="C14" s="9"/>
      <c r="D14" s="9"/>
      <c r="E14" s="9"/>
      <c r="F14" s="946"/>
      <c r="G14" s="947"/>
      <c r="H14" s="947"/>
      <c r="I14" s="948"/>
      <c r="J14" s="9"/>
      <c r="K14" s="9"/>
    </row>
    <row r="15" spans="1:11" ht="12.75">
      <c r="A15" s="8">
        <v>5</v>
      </c>
      <c r="B15" s="19" t="s">
        <v>477</v>
      </c>
      <c r="C15" s="9"/>
      <c r="D15" s="9"/>
      <c r="E15" s="9"/>
      <c r="F15" s="949"/>
      <c r="G15" s="950"/>
      <c r="H15" s="950"/>
      <c r="I15" s="951"/>
      <c r="J15" s="9"/>
      <c r="K15" s="9"/>
    </row>
    <row r="16" spans="1:11" ht="12.75">
      <c r="A16" s="8">
        <v>6</v>
      </c>
      <c r="B16" s="19" t="s">
        <v>478</v>
      </c>
      <c r="C16" s="9"/>
      <c r="D16" s="9"/>
      <c r="E16" s="9"/>
      <c r="F16" s="9"/>
      <c r="G16" s="9"/>
      <c r="H16" s="9"/>
      <c r="I16" s="9"/>
      <c r="J16" s="9"/>
      <c r="K16" s="9"/>
    </row>
    <row r="17" spans="1:11" ht="12.75">
      <c r="A17" s="8">
        <v>7</v>
      </c>
      <c r="B17" s="19" t="s">
        <v>479</v>
      </c>
      <c r="C17" s="9"/>
      <c r="D17" s="9"/>
      <c r="E17" s="9"/>
      <c r="F17" s="9"/>
      <c r="G17" s="9"/>
      <c r="H17" s="9"/>
      <c r="I17" s="9"/>
      <c r="J17" s="9"/>
      <c r="K17" s="9"/>
    </row>
    <row r="18" spans="1:11" ht="12.75">
      <c r="A18" s="8">
        <v>8</v>
      </c>
      <c r="B18" s="19" t="s">
        <v>480</v>
      </c>
      <c r="C18" s="9"/>
      <c r="D18" s="9"/>
      <c r="E18" s="9"/>
      <c r="F18" s="9"/>
      <c r="G18" s="9"/>
      <c r="H18" s="9"/>
      <c r="I18" s="9"/>
      <c r="J18" s="9"/>
      <c r="K18" s="9"/>
    </row>
    <row r="19" spans="1:11" ht="12.75">
      <c r="A19" s="3"/>
      <c r="B19" s="27" t="s">
        <v>481</v>
      </c>
      <c r="C19" s="9"/>
      <c r="D19" s="9"/>
      <c r="E19" s="9"/>
      <c r="F19" s="9"/>
      <c r="G19" s="9"/>
      <c r="H19" s="9"/>
      <c r="I19" s="9"/>
      <c r="J19" s="9"/>
      <c r="K19" s="9"/>
    </row>
    <row r="21" ht="12.75">
      <c r="A21" s="15" t="s">
        <v>451</v>
      </c>
    </row>
    <row r="23" spans="1:11" ht="12.75">
      <c r="A23" s="188"/>
      <c r="B23" s="188"/>
      <c r="C23" s="188"/>
      <c r="D23" s="188"/>
      <c r="I23" s="764"/>
      <c r="J23" s="764"/>
      <c r="K23" s="764"/>
    </row>
    <row r="24" spans="1:12" ht="15" customHeight="1">
      <c r="A24" s="188"/>
      <c r="B24" s="188"/>
      <c r="C24" s="188"/>
      <c r="D24" s="188"/>
      <c r="I24" s="764" t="s">
        <v>1062</v>
      </c>
      <c r="J24" s="764"/>
      <c r="K24" s="764"/>
      <c r="L24" s="201"/>
    </row>
    <row r="25" spans="1:12" ht="15" customHeight="1">
      <c r="A25" s="188"/>
      <c r="B25" s="188"/>
      <c r="C25" s="188"/>
      <c r="D25" s="188"/>
      <c r="I25" s="764" t="s">
        <v>484</v>
      </c>
      <c r="J25" s="764"/>
      <c r="K25" s="764"/>
      <c r="L25" s="201"/>
    </row>
    <row r="26" spans="1:11" ht="12.75">
      <c r="A26" s="188" t="s">
        <v>12</v>
      </c>
      <c r="C26" s="188"/>
      <c r="D26" s="188"/>
      <c r="I26" s="759" t="s">
        <v>548</v>
      </c>
      <c r="J26" s="759"/>
      <c r="K26" s="192"/>
    </row>
  </sheetData>
  <sheetProtection/>
  <mergeCells count="14">
    <mergeCell ref="I26:J26"/>
    <mergeCell ref="A3:K3"/>
    <mergeCell ref="A5:K5"/>
    <mergeCell ref="J6:L6"/>
    <mergeCell ref="A8:A9"/>
    <mergeCell ref="B8:B9"/>
    <mergeCell ref="C8:C9"/>
    <mergeCell ref="D8:H8"/>
    <mergeCell ref="I8:K8"/>
    <mergeCell ref="I23:K23"/>
    <mergeCell ref="I24:K24"/>
    <mergeCell ref="A2:K2"/>
    <mergeCell ref="I25:K25"/>
    <mergeCell ref="F13:I15"/>
  </mergeCells>
  <printOptions horizontalCentered="1"/>
  <pageMargins left="0.7086614173228347" right="0.3" top="1.09" bottom="0" header="0.31496062992125984" footer="0.31496062992125984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36"/>
  <sheetViews>
    <sheetView view="pageBreakPreview" zoomScale="90" zoomScaleSheetLayoutView="90" zoomScalePageLayoutView="0" workbookViewId="0" topLeftCell="A7">
      <selection activeCell="R35" sqref="R35:V35"/>
    </sheetView>
  </sheetViews>
  <sheetFormatPr defaultColWidth="9.140625" defaultRowHeight="12.75"/>
  <cols>
    <col min="1" max="1" width="4.8515625" style="0" customWidth="1"/>
    <col min="2" max="2" width="31.421875" style="0" customWidth="1"/>
    <col min="3" max="6" width="8.28125" style="0" customWidth="1"/>
    <col min="7" max="18" width="8.140625" style="0" customWidth="1"/>
    <col min="19" max="21" width="9.7109375" style="0" customWidth="1"/>
    <col min="22" max="22" width="10.8515625" style="0" customWidth="1"/>
    <col min="27" max="27" width="11.00390625" style="0" customWidth="1"/>
    <col min="28" max="29" width="8.8515625" style="0" hidden="1" customWidth="1"/>
  </cols>
  <sheetData>
    <row r="2" spans="7:22" ht="12.75">
      <c r="G2" s="676"/>
      <c r="H2" s="676"/>
      <c r="I2" s="676"/>
      <c r="J2" s="676"/>
      <c r="K2" s="676"/>
      <c r="L2" s="676"/>
      <c r="M2" s="676"/>
      <c r="N2" s="676"/>
      <c r="O2" s="676"/>
      <c r="P2" s="1"/>
      <c r="Q2" s="1"/>
      <c r="R2" s="1"/>
      <c r="T2" s="707" t="s">
        <v>55</v>
      </c>
      <c r="U2" s="707"/>
      <c r="V2" s="707"/>
    </row>
    <row r="3" spans="1:22" ht="15">
      <c r="A3" s="652" t="s">
        <v>53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2"/>
      <c r="S3" s="652"/>
      <c r="T3" s="652"/>
      <c r="U3" s="652"/>
      <c r="V3" s="652"/>
    </row>
    <row r="4" spans="1:255" ht="15.75">
      <c r="A4" s="700" t="s">
        <v>878</v>
      </c>
      <c r="B4" s="700"/>
      <c r="C4" s="700"/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700"/>
      <c r="Q4" s="700"/>
      <c r="R4" s="700"/>
      <c r="S4" s="700"/>
      <c r="T4" s="700"/>
      <c r="U4" s="700"/>
      <c r="V4" s="700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</row>
    <row r="6" spans="1:22" ht="15">
      <c r="A6" s="723" t="s">
        <v>881</v>
      </c>
      <c r="B6" s="723"/>
      <c r="C6" s="723"/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3"/>
      <c r="O6" s="723"/>
      <c r="P6" s="723"/>
      <c r="Q6" s="723"/>
      <c r="R6" s="723"/>
      <c r="S6" s="723"/>
      <c r="T6" s="723"/>
      <c r="U6" s="723"/>
      <c r="V6" s="723"/>
    </row>
    <row r="7" spans="1:21" ht="15.75">
      <c r="A7" s="668" t="s">
        <v>472</v>
      </c>
      <c r="B7" s="668"/>
      <c r="C7" s="668"/>
      <c r="D7" s="29"/>
      <c r="E7" s="29"/>
      <c r="F7" s="29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</row>
    <row r="9" spans="21:255" ht="15">
      <c r="U9" s="730" t="s">
        <v>461</v>
      </c>
      <c r="V9" s="730"/>
      <c r="W9" s="16"/>
      <c r="X9" s="16"/>
      <c r="Y9" s="16"/>
      <c r="Z9" s="16"/>
      <c r="AA9" s="678"/>
      <c r="AB9" s="678"/>
      <c r="AC9" s="678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</row>
    <row r="10" spans="1:255" s="260" customFormat="1" ht="12.75" customHeight="1">
      <c r="A10" s="708" t="s">
        <v>486</v>
      </c>
      <c r="B10" s="711" t="s">
        <v>104</v>
      </c>
      <c r="C10" s="714" t="s">
        <v>154</v>
      </c>
      <c r="D10" s="715"/>
      <c r="E10" s="715"/>
      <c r="F10" s="716"/>
      <c r="G10" s="714" t="s">
        <v>923</v>
      </c>
      <c r="H10" s="715"/>
      <c r="I10" s="715"/>
      <c r="J10" s="715"/>
      <c r="K10" s="715"/>
      <c r="L10" s="715"/>
      <c r="M10" s="715"/>
      <c r="N10" s="715"/>
      <c r="O10" s="715"/>
      <c r="P10" s="715"/>
      <c r="Q10" s="715"/>
      <c r="R10" s="716"/>
      <c r="S10" s="717" t="s">
        <v>245</v>
      </c>
      <c r="T10" s="718"/>
      <c r="U10" s="718"/>
      <c r="V10" s="718"/>
      <c r="W10" s="259"/>
      <c r="X10" s="259"/>
      <c r="Y10" s="259"/>
      <c r="Z10" s="259"/>
      <c r="AA10" s="259"/>
      <c r="AB10" s="259"/>
      <c r="AC10" s="259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  <c r="BS10" s="258"/>
      <c r="BT10" s="258"/>
      <c r="BU10" s="258"/>
      <c r="BV10" s="258"/>
      <c r="BW10" s="258"/>
      <c r="BX10" s="258"/>
      <c r="BY10" s="258"/>
      <c r="BZ10" s="258"/>
      <c r="CA10" s="258"/>
      <c r="CB10" s="258"/>
      <c r="CC10" s="258"/>
      <c r="CD10" s="258"/>
      <c r="CE10" s="258"/>
      <c r="CF10" s="258"/>
      <c r="CG10" s="258"/>
      <c r="CH10" s="258"/>
      <c r="CI10" s="258"/>
      <c r="CJ10" s="258"/>
      <c r="CK10" s="258"/>
      <c r="CL10" s="258"/>
      <c r="CM10" s="258"/>
      <c r="CN10" s="258"/>
      <c r="CO10" s="258"/>
      <c r="CP10" s="258"/>
      <c r="CQ10" s="258"/>
      <c r="CR10" s="258"/>
      <c r="CS10" s="258"/>
      <c r="CT10" s="258"/>
      <c r="CU10" s="258"/>
      <c r="CV10" s="258"/>
      <c r="CW10" s="258"/>
      <c r="CX10" s="258"/>
      <c r="CY10" s="258"/>
      <c r="CZ10" s="258"/>
      <c r="DA10" s="258"/>
      <c r="DB10" s="258"/>
      <c r="DC10" s="258"/>
      <c r="DD10" s="258"/>
      <c r="DE10" s="258"/>
      <c r="DF10" s="258"/>
      <c r="DG10" s="258"/>
      <c r="DH10" s="258"/>
      <c r="DI10" s="258"/>
      <c r="DJ10" s="258"/>
      <c r="DK10" s="258"/>
      <c r="DL10" s="258"/>
      <c r="DM10" s="258"/>
      <c r="DN10" s="258"/>
      <c r="DO10" s="258"/>
      <c r="DP10" s="258"/>
      <c r="DQ10" s="258"/>
      <c r="DR10" s="258"/>
      <c r="DS10" s="258"/>
      <c r="DT10" s="258"/>
      <c r="DU10" s="258"/>
      <c r="DV10" s="258"/>
      <c r="DW10" s="258"/>
      <c r="DX10" s="258"/>
      <c r="DY10" s="258"/>
      <c r="DZ10" s="258"/>
      <c r="EA10" s="258"/>
      <c r="EB10" s="258"/>
      <c r="EC10" s="258"/>
      <c r="ED10" s="258"/>
      <c r="EE10" s="258"/>
      <c r="EF10" s="258"/>
      <c r="EG10" s="258"/>
      <c r="EH10" s="258"/>
      <c r="EI10" s="258"/>
      <c r="EJ10" s="258"/>
      <c r="EK10" s="258"/>
      <c r="EL10" s="258"/>
      <c r="EM10" s="258"/>
      <c r="EN10" s="258"/>
      <c r="EO10" s="258"/>
      <c r="EP10" s="258"/>
      <c r="EQ10" s="258"/>
      <c r="ER10" s="258"/>
      <c r="ES10" s="258"/>
      <c r="ET10" s="258"/>
      <c r="EU10" s="258"/>
      <c r="EV10" s="258"/>
      <c r="EW10" s="258"/>
      <c r="EX10" s="258"/>
      <c r="EY10" s="258"/>
      <c r="EZ10" s="258"/>
      <c r="FA10" s="258"/>
      <c r="FB10" s="258"/>
      <c r="FC10" s="258"/>
      <c r="FD10" s="258"/>
      <c r="FE10" s="258"/>
      <c r="FF10" s="258"/>
      <c r="FG10" s="258"/>
      <c r="FH10" s="258"/>
      <c r="FI10" s="258"/>
      <c r="FJ10" s="258"/>
      <c r="FK10" s="258"/>
      <c r="FL10" s="258"/>
      <c r="FM10" s="258"/>
      <c r="FN10" s="258"/>
      <c r="FO10" s="258"/>
      <c r="FP10" s="258"/>
      <c r="FQ10" s="258"/>
      <c r="FR10" s="258"/>
      <c r="FS10" s="258"/>
      <c r="FT10" s="258"/>
      <c r="FU10" s="258"/>
      <c r="FV10" s="258"/>
      <c r="FW10" s="258"/>
      <c r="FX10" s="258"/>
      <c r="FY10" s="258"/>
      <c r="FZ10" s="258"/>
      <c r="GA10" s="258"/>
      <c r="GB10" s="258"/>
      <c r="GC10" s="258"/>
      <c r="GD10" s="258"/>
      <c r="GE10" s="258"/>
      <c r="GF10" s="258"/>
      <c r="GG10" s="258"/>
      <c r="GH10" s="258"/>
      <c r="GI10" s="258"/>
      <c r="GJ10" s="258"/>
      <c r="GK10" s="258"/>
      <c r="GL10" s="258"/>
      <c r="GM10" s="258"/>
      <c r="GN10" s="258"/>
      <c r="GO10" s="258"/>
      <c r="GP10" s="258"/>
      <c r="GQ10" s="258"/>
      <c r="GR10" s="258"/>
      <c r="GS10" s="258"/>
      <c r="GT10" s="258"/>
      <c r="GU10" s="258"/>
      <c r="GV10" s="258"/>
      <c r="GW10" s="258"/>
      <c r="GX10" s="258"/>
      <c r="GY10" s="258"/>
      <c r="GZ10" s="258"/>
      <c r="HA10" s="258"/>
      <c r="HB10" s="258"/>
      <c r="HC10" s="258"/>
      <c r="HD10" s="258"/>
      <c r="HE10" s="258"/>
      <c r="HF10" s="258"/>
      <c r="HG10" s="258"/>
      <c r="HH10" s="258"/>
      <c r="HI10" s="258"/>
      <c r="HJ10" s="258"/>
      <c r="HK10" s="258"/>
      <c r="HL10" s="258"/>
      <c r="HM10" s="258"/>
      <c r="HN10" s="258"/>
      <c r="HO10" s="258"/>
      <c r="HP10" s="258"/>
      <c r="HQ10" s="258"/>
      <c r="HR10" s="258"/>
      <c r="HS10" s="258"/>
      <c r="HT10" s="258"/>
      <c r="HU10" s="258"/>
      <c r="HV10" s="258"/>
      <c r="HW10" s="258"/>
      <c r="HX10" s="258"/>
      <c r="HY10" s="258"/>
      <c r="HZ10" s="258"/>
      <c r="IA10" s="258"/>
      <c r="IB10" s="258"/>
      <c r="IC10" s="258"/>
      <c r="ID10" s="258"/>
      <c r="IE10" s="258"/>
      <c r="IF10" s="258"/>
      <c r="IG10" s="258"/>
      <c r="IH10" s="258"/>
      <c r="II10" s="258"/>
      <c r="IJ10" s="258"/>
      <c r="IK10" s="258"/>
      <c r="IL10" s="258"/>
      <c r="IM10" s="258"/>
      <c r="IN10" s="258"/>
      <c r="IO10" s="258"/>
      <c r="IP10" s="258"/>
      <c r="IQ10" s="258"/>
      <c r="IR10" s="258"/>
      <c r="IS10" s="258"/>
      <c r="IT10" s="258"/>
      <c r="IU10" s="258"/>
    </row>
    <row r="11" spans="1:255" s="260" customFormat="1" ht="12.75">
      <c r="A11" s="709"/>
      <c r="B11" s="712"/>
      <c r="C11" s="724"/>
      <c r="D11" s="725"/>
      <c r="E11" s="725"/>
      <c r="F11" s="726"/>
      <c r="G11" s="727" t="s">
        <v>172</v>
      </c>
      <c r="H11" s="728"/>
      <c r="I11" s="728"/>
      <c r="J11" s="729"/>
      <c r="K11" s="727" t="s">
        <v>173</v>
      </c>
      <c r="L11" s="728"/>
      <c r="M11" s="728"/>
      <c r="N11" s="729"/>
      <c r="O11" s="677" t="s">
        <v>16</v>
      </c>
      <c r="P11" s="677"/>
      <c r="Q11" s="677"/>
      <c r="R11" s="677"/>
      <c r="S11" s="719"/>
      <c r="T11" s="720"/>
      <c r="U11" s="720"/>
      <c r="V11" s="720"/>
      <c r="W11" s="259"/>
      <c r="X11" s="259"/>
      <c r="Y11" s="259"/>
      <c r="Z11" s="259"/>
      <c r="AA11" s="259"/>
      <c r="AB11" s="259"/>
      <c r="AC11" s="259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/>
      <c r="BS11" s="258"/>
      <c r="BT11" s="258"/>
      <c r="BU11" s="258"/>
      <c r="BV11" s="258"/>
      <c r="BW11" s="258"/>
      <c r="BX11" s="258"/>
      <c r="BY11" s="258"/>
      <c r="BZ11" s="258"/>
      <c r="CA11" s="258"/>
      <c r="CB11" s="258"/>
      <c r="CC11" s="258"/>
      <c r="CD11" s="258"/>
      <c r="CE11" s="258"/>
      <c r="CF11" s="258"/>
      <c r="CG11" s="258"/>
      <c r="CH11" s="258"/>
      <c r="CI11" s="258"/>
      <c r="CJ11" s="258"/>
      <c r="CK11" s="258"/>
      <c r="CL11" s="258"/>
      <c r="CM11" s="258"/>
      <c r="CN11" s="258"/>
      <c r="CO11" s="258"/>
      <c r="CP11" s="258"/>
      <c r="CQ11" s="258"/>
      <c r="CR11" s="258"/>
      <c r="CS11" s="258"/>
      <c r="CT11" s="258"/>
      <c r="CU11" s="258"/>
      <c r="CV11" s="258"/>
      <c r="CW11" s="258"/>
      <c r="CX11" s="258"/>
      <c r="CY11" s="258"/>
      <c r="CZ11" s="258"/>
      <c r="DA11" s="258"/>
      <c r="DB11" s="258"/>
      <c r="DC11" s="258"/>
      <c r="DD11" s="258"/>
      <c r="DE11" s="258"/>
      <c r="DF11" s="258"/>
      <c r="DG11" s="258"/>
      <c r="DH11" s="258"/>
      <c r="DI11" s="258"/>
      <c r="DJ11" s="258"/>
      <c r="DK11" s="258"/>
      <c r="DL11" s="258"/>
      <c r="DM11" s="258"/>
      <c r="DN11" s="258"/>
      <c r="DO11" s="258"/>
      <c r="DP11" s="258"/>
      <c r="DQ11" s="258"/>
      <c r="DR11" s="258"/>
      <c r="DS11" s="258"/>
      <c r="DT11" s="258"/>
      <c r="DU11" s="258"/>
      <c r="DV11" s="258"/>
      <c r="DW11" s="258"/>
      <c r="DX11" s="258"/>
      <c r="DY11" s="258"/>
      <c r="DZ11" s="258"/>
      <c r="EA11" s="258"/>
      <c r="EB11" s="258"/>
      <c r="EC11" s="258"/>
      <c r="ED11" s="258"/>
      <c r="EE11" s="258"/>
      <c r="EF11" s="258"/>
      <c r="EG11" s="258"/>
      <c r="EH11" s="258"/>
      <c r="EI11" s="258"/>
      <c r="EJ11" s="258"/>
      <c r="EK11" s="258"/>
      <c r="EL11" s="258"/>
      <c r="EM11" s="258"/>
      <c r="EN11" s="258"/>
      <c r="EO11" s="258"/>
      <c r="EP11" s="258"/>
      <c r="EQ11" s="258"/>
      <c r="ER11" s="258"/>
      <c r="ES11" s="258"/>
      <c r="ET11" s="258"/>
      <c r="EU11" s="258"/>
      <c r="EV11" s="258"/>
      <c r="EW11" s="258"/>
      <c r="EX11" s="258"/>
      <c r="EY11" s="258"/>
      <c r="EZ11" s="258"/>
      <c r="FA11" s="258"/>
      <c r="FB11" s="258"/>
      <c r="FC11" s="258"/>
      <c r="FD11" s="258"/>
      <c r="FE11" s="258"/>
      <c r="FF11" s="258"/>
      <c r="FG11" s="258"/>
      <c r="FH11" s="258"/>
      <c r="FI11" s="258"/>
      <c r="FJ11" s="258"/>
      <c r="FK11" s="258"/>
      <c r="FL11" s="258"/>
      <c r="FM11" s="258"/>
      <c r="FN11" s="258"/>
      <c r="FO11" s="258"/>
      <c r="FP11" s="258"/>
      <c r="FQ11" s="258"/>
      <c r="FR11" s="258"/>
      <c r="FS11" s="258"/>
      <c r="FT11" s="258"/>
      <c r="FU11" s="258"/>
      <c r="FV11" s="258"/>
      <c r="FW11" s="258"/>
      <c r="FX11" s="258"/>
      <c r="FY11" s="258"/>
      <c r="FZ11" s="258"/>
      <c r="GA11" s="258"/>
      <c r="GB11" s="258"/>
      <c r="GC11" s="258"/>
      <c r="GD11" s="258"/>
      <c r="GE11" s="258"/>
      <c r="GF11" s="258"/>
      <c r="GG11" s="258"/>
      <c r="GH11" s="258"/>
      <c r="GI11" s="258"/>
      <c r="GJ11" s="258"/>
      <c r="GK11" s="258"/>
      <c r="GL11" s="258"/>
      <c r="GM11" s="258"/>
      <c r="GN11" s="258"/>
      <c r="GO11" s="258"/>
      <c r="GP11" s="258"/>
      <c r="GQ11" s="258"/>
      <c r="GR11" s="258"/>
      <c r="GS11" s="258"/>
      <c r="GT11" s="258"/>
      <c r="GU11" s="258"/>
      <c r="GV11" s="258"/>
      <c r="GW11" s="258"/>
      <c r="GX11" s="258"/>
      <c r="GY11" s="258"/>
      <c r="GZ11" s="258"/>
      <c r="HA11" s="258"/>
      <c r="HB11" s="258"/>
      <c r="HC11" s="258"/>
      <c r="HD11" s="258"/>
      <c r="HE11" s="258"/>
      <c r="HF11" s="258"/>
      <c r="HG11" s="258"/>
      <c r="HH11" s="258"/>
      <c r="HI11" s="258"/>
      <c r="HJ11" s="258"/>
      <c r="HK11" s="258"/>
      <c r="HL11" s="258"/>
      <c r="HM11" s="258"/>
      <c r="HN11" s="258"/>
      <c r="HO11" s="258"/>
      <c r="HP11" s="258"/>
      <c r="HQ11" s="258"/>
      <c r="HR11" s="258"/>
      <c r="HS11" s="258"/>
      <c r="HT11" s="258"/>
      <c r="HU11" s="258"/>
      <c r="HV11" s="258"/>
      <c r="HW11" s="258"/>
      <c r="HX11" s="258"/>
      <c r="HY11" s="258"/>
      <c r="HZ11" s="258"/>
      <c r="IA11" s="258"/>
      <c r="IB11" s="258"/>
      <c r="IC11" s="258"/>
      <c r="ID11" s="258"/>
      <c r="IE11" s="258"/>
      <c r="IF11" s="258"/>
      <c r="IG11" s="258"/>
      <c r="IH11" s="258"/>
      <c r="II11" s="258"/>
      <c r="IJ11" s="258"/>
      <c r="IK11" s="258"/>
      <c r="IL11" s="258"/>
      <c r="IM11" s="258"/>
      <c r="IN11" s="258"/>
      <c r="IO11" s="258"/>
      <c r="IP11" s="258"/>
      <c r="IQ11" s="258"/>
      <c r="IR11" s="258"/>
      <c r="IS11" s="258"/>
      <c r="IT11" s="258"/>
      <c r="IU11" s="258"/>
    </row>
    <row r="12" spans="1:255" s="260" customFormat="1" ht="38.25">
      <c r="A12" s="710"/>
      <c r="B12" s="713"/>
      <c r="C12" s="158" t="s">
        <v>246</v>
      </c>
      <c r="D12" s="158" t="s">
        <v>247</v>
      </c>
      <c r="E12" s="158" t="s">
        <v>248</v>
      </c>
      <c r="F12" s="158" t="s">
        <v>86</v>
      </c>
      <c r="G12" s="158" t="s">
        <v>246</v>
      </c>
      <c r="H12" s="158" t="s">
        <v>247</v>
      </c>
      <c r="I12" s="158" t="s">
        <v>248</v>
      </c>
      <c r="J12" s="158" t="s">
        <v>16</v>
      </c>
      <c r="K12" s="158" t="s">
        <v>246</v>
      </c>
      <c r="L12" s="158" t="s">
        <v>247</v>
      </c>
      <c r="M12" s="158" t="s">
        <v>248</v>
      </c>
      <c r="N12" s="158" t="s">
        <v>86</v>
      </c>
      <c r="O12" s="158" t="s">
        <v>246</v>
      </c>
      <c r="P12" s="158" t="s">
        <v>247</v>
      </c>
      <c r="Q12" s="158" t="s">
        <v>248</v>
      </c>
      <c r="R12" s="158" t="s">
        <v>16</v>
      </c>
      <c r="S12" s="257" t="s">
        <v>457</v>
      </c>
      <c r="T12" s="257" t="s">
        <v>458</v>
      </c>
      <c r="U12" s="257" t="s">
        <v>459</v>
      </c>
      <c r="V12" s="261" t="s">
        <v>460</v>
      </c>
      <c r="W12" s="259"/>
      <c r="X12" s="259"/>
      <c r="Y12" s="259"/>
      <c r="Z12" s="259"/>
      <c r="AA12" s="259"/>
      <c r="AB12" s="259"/>
      <c r="AC12" s="259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58"/>
      <c r="BU12" s="258"/>
      <c r="BV12" s="258"/>
      <c r="BW12" s="258"/>
      <c r="BX12" s="258"/>
      <c r="BY12" s="258"/>
      <c r="BZ12" s="258"/>
      <c r="CA12" s="258"/>
      <c r="CB12" s="258"/>
      <c r="CC12" s="258"/>
      <c r="CD12" s="258"/>
      <c r="CE12" s="258"/>
      <c r="CF12" s="258"/>
      <c r="CG12" s="258"/>
      <c r="CH12" s="258"/>
      <c r="CI12" s="258"/>
      <c r="CJ12" s="258"/>
      <c r="CK12" s="258"/>
      <c r="CL12" s="258"/>
      <c r="CM12" s="258"/>
      <c r="CN12" s="258"/>
      <c r="CO12" s="258"/>
      <c r="CP12" s="258"/>
      <c r="CQ12" s="258"/>
      <c r="CR12" s="258"/>
      <c r="CS12" s="258"/>
      <c r="CT12" s="258"/>
      <c r="CU12" s="258"/>
      <c r="CV12" s="258"/>
      <c r="CW12" s="258"/>
      <c r="CX12" s="258"/>
      <c r="CY12" s="258"/>
      <c r="CZ12" s="258"/>
      <c r="DA12" s="258"/>
      <c r="DB12" s="258"/>
      <c r="DC12" s="258"/>
      <c r="DD12" s="258"/>
      <c r="DE12" s="258"/>
      <c r="DF12" s="258"/>
      <c r="DG12" s="258"/>
      <c r="DH12" s="258"/>
      <c r="DI12" s="258"/>
      <c r="DJ12" s="258"/>
      <c r="DK12" s="258"/>
      <c r="DL12" s="258"/>
      <c r="DM12" s="258"/>
      <c r="DN12" s="258"/>
      <c r="DO12" s="258"/>
      <c r="DP12" s="258"/>
      <c r="DQ12" s="258"/>
      <c r="DR12" s="258"/>
      <c r="DS12" s="258"/>
      <c r="DT12" s="258"/>
      <c r="DU12" s="258"/>
      <c r="DV12" s="258"/>
      <c r="DW12" s="258"/>
      <c r="DX12" s="258"/>
      <c r="DY12" s="258"/>
      <c r="DZ12" s="258"/>
      <c r="EA12" s="258"/>
      <c r="EB12" s="258"/>
      <c r="EC12" s="258"/>
      <c r="ED12" s="258"/>
      <c r="EE12" s="258"/>
      <c r="EF12" s="258"/>
      <c r="EG12" s="258"/>
      <c r="EH12" s="258"/>
      <c r="EI12" s="258"/>
      <c r="EJ12" s="258"/>
      <c r="EK12" s="258"/>
      <c r="EL12" s="258"/>
      <c r="EM12" s="258"/>
      <c r="EN12" s="258"/>
      <c r="EO12" s="258"/>
      <c r="EP12" s="258"/>
      <c r="EQ12" s="258"/>
      <c r="ER12" s="258"/>
      <c r="ES12" s="258"/>
      <c r="ET12" s="258"/>
      <c r="EU12" s="258"/>
      <c r="EV12" s="258"/>
      <c r="EW12" s="258"/>
      <c r="EX12" s="258"/>
      <c r="EY12" s="258"/>
      <c r="EZ12" s="258"/>
      <c r="FA12" s="258"/>
      <c r="FB12" s="258"/>
      <c r="FC12" s="258"/>
      <c r="FD12" s="258"/>
      <c r="FE12" s="258"/>
      <c r="FF12" s="258"/>
      <c r="FG12" s="258"/>
      <c r="FH12" s="258"/>
      <c r="FI12" s="258"/>
      <c r="FJ12" s="258"/>
      <c r="FK12" s="258"/>
      <c r="FL12" s="258"/>
      <c r="FM12" s="258"/>
      <c r="FN12" s="258"/>
      <c r="FO12" s="258"/>
      <c r="FP12" s="258"/>
      <c r="FQ12" s="258"/>
      <c r="FR12" s="258"/>
      <c r="FS12" s="258"/>
      <c r="FT12" s="258"/>
      <c r="FU12" s="258"/>
      <c r="FV12" s="258"/>
      <c r="FW12" s="258"/>
      <c r="FX12" s="258"/>
      <c r="FY12" s="258"/>
      <c r="FZ12" s="258"/>
      <c r="GA12" s="258"/>
      <c r="GB12" s="258"/>
      <c r="GC12" s="258"/>
      <c r="GD12" s="258"/>
      <c r="GE12" s="258"/>
      <c r="GF12" s="258"/>
      <c r="GG12" s="258"/>
      <c r="GH12" s="258"/>
      <c r="GI12" s="258"/>
      <c r="GJ12" s="258"/>
      <c r="GK12" s="258"/>
      <c r="GL12" s="258"/>
      <c r="GM12" s="258"/>
      <c r="GN12" s="258"/>
      <c r="GO12" s="258"/>
      <c r="GP12" s="258"/>
      <c r="GQ12" s="258"/>
      <c r="GR12" s="258"/>
      <c r="GS12" s="258"/>
      <c r="GT12" s="258"/>
      <c r="GU12" s="258"/>
      <c r="GV12" s="258"/>
      <c r="GW12" s="258"/>
      <c r="GX12" s="258"/>
      <c r="GY12" s="258"/>
      <c r="GZ12" s="258"/>
      <c r="HA12" s="258"/>
      <c r="HB12" s="258"/>
      <c r="HC12" s="258"/>
      <c r="HD12" s="258"/>
      <c r="HE12" s="258"/>
      <c r="HF12" s="258"/>
      <c r="HG12" s="258"/>
      <c r="HH12" s="258"/>
      <c r="HI12" s="258"/>
      <c r="HJ12" s="258"/>
      <c r="HK12" s="258"/>
      <c r="HL12" s="258"/>
      <c r="HM12" s="258"/>
      <c r="HN12" s="258"/>
      <c r="HO12" s="258"/>
      <c r="HP12" s="258"/>
      <c r="HQ12" s="258"/>
      <c r="HR12" s="258"/>
      <c r="HS12" s="258"/>
      <c r="HT12" s="258"/>
      <c r="HU12" s="258"/>
      <c r="HV12" s="258"/>
      <c r="HW12" s="258"/>
      <c r="HX12" s="258"/>
      <c r="HY12" s="258"/>
      <c r="HZ12" s="258"/>
      <c r="IA12" s="258"/>
      <c r="IB12" s="258"/>
      <c r="IC12" s="258"/>
      <c r="ID12" s="258"/>
      <c r="IE12" s="258"/>
      <c r="IF12" s="258"/>
      <c r="IG12" s="258"/>
      <c r="IH12" s="258"/>
      <c r="II12" s="258"/>
      <c r="IJ12" s="258"/>
      <c r="IK12" s="258"/>
      <c r="IL12" s="258"/>
      <c r="IM12" s="258"/>
      <c r="IN12" s="258"/>
      <c r="IO12" s="258"/>
      <c r="IP12" s="258"/>
      <c r="IQ12" s="258"/>
      <c r="IR12" s="258"/>
      <c r="IS12" s="258"/>
      <c r="IT12" s="258"/>
      <c r="IU12" s="258"/>
    </row>
    <row r="13" spans="1:255" ht="12.75">
      <c r="A13" s="139">
        <v>1</v>
      </c>
      <c r="B13" s="159">
        <v>2</v>
      </c>
      <c r="C13" s="139">
        <v>3</v>
      </c>
      <c r="D13" s="139">
        <v>4</v>
      </c>
      <c r="E13" s="159">
        <v>5</v>
      </c>
      <c r="F13" s="139">
        <v>6</v>
      </c>
      <c r="G13" s="139">
        <v>7</v>
      </c>
      <c r="H13" s="159">
        <v>8</v>
      </c>
      <c r="I13" s="139">
        <v>9</v>
      </c>
      <c r="J13" s="139">
        <v>10</v>
      </c>
      <c r="K13" s="159">
        <v>11</v>
      </c>
      <c r="L13" s="139">
        <v>12</v>
      </c>
      <c r="M13" s="139">
        <v>13</v>
      </c>
      <c r="N13" s="159">
        <v>14</v>
      </c>
      <c r="O13" s="139">
        <v>15</v>
      </c>
      <c r="P13" s="139">
        <v>16</v>
      </c>
      <c r="Q13" s="159">
        <v>17</v>
      </c>
      <c r="R13" s="139">
        <v>18</v>
      </c>
      <c r="S13" s="139">
        <v>19</v>
      </c>
      <c r="T13" s="159">
        <v>20</v>
      </c>
      <c r="U13" s="139">
        <v>21</v>
      </c>
      <c r="V13" s="139">
        <v>22</v>
      </c>
      <c r="W13" s="160"/>
      <c r="X13" s="160"/>
      <c r="Y13" s="160"/>
      <c r="Z13" s="160"/>
      <c r="AA13" s="160"/>
      <c r="AB13" s="160"/>
      <c r="AC13" s="160"/>
      <c r="AD13" s="160"/>
      <c r="AE13" s="160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  <c r="IR13" s="71"/>
      <c r="IS13" s="71"/>
      <c r="IT13" s="71"/>
      <c r="IU13" s="71"/>
    </row>
    <row r="14" spans="1:255" ht="12.75">
      <c r="A14" s="18"/>
      <c r="B14" s="161" t="s">
        <v>232</v>
      </c>
      <c r="C14" s="18"/>
      <c r="D14" s="18"/>
      <c r="E14" s="18"/>
      <c r="F14" s="224"/>
      <c r="G14" s="8"/>
      <c r="H14" s="8"/>
      <c r="I14" s="8"/>
      <c r="J14" s="224"/>
      <c r="K14" s="8"/>
      <c r="L14" s="8"/>
      <c r="M14" s="8"/>
      <c r="N14" s="8"/>
      <c r="O14" s="8"/>
      <c r="P14" s="8"/>
      <c r="Q14" s="8"/>
      <c r="R14" s="8"/>
      <c r="S14" s="8"/>
      <c r="T14" s="9"/>
      <c r="U14" s="9"/>
      <c r="V14" s="9"/>
      <c r="W14" s="122"/>
      <c r="X14" s="122"/>
      <c r="Y14" s="122"/>
      <c r="Z14" s="122"/>
      <c r="AA14" s="122"/>
      <c r="AB14" s="122"/>
      <c r="AC14" s="122"/>
      <c r="AD14" s="122"/>
      <c r="AE14" s="122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</row>
    <row r="15" spans="1:255" ht="12.75">
      <c r="A15" s="3">
        <v>1</v>
      </c>
      <c r="B15" s="161" t="s">
        <v>179</v>
      </c>
      <c r="C15" s="327">
        <v>58.48000000000002</v>
      </c>
      <c r="D15" s="327">
        <v>58.48</v>
      </c>
      <c r="E15" s="327">
        <v>175.43999999999997</v>
      </c>
      <c r="F15" s="328">
        <f>SUM(C15:E15)</f>
        <v>292.4</v>
      </c>
      <c r="G15" s="329">
        <v>55.160000000000025</v>
      </c>
      <c r="H15" s="329">
        <v>55.160000000000004</v>
      </c>
      <c r="I15" s="329">
        <v>165.48</v>
      </c>
      <c r="J15" s="328">
        <f>SUM(G15:I15)</f>
        <v>275.8</v>
      </c>
      <c r="K15" s="329">
        <v>0</v>
      </c>
      <c r="L15" s="329">
        <v>0</v>
      </c>
      <c r="M15" s="329">
        <v>0</v>
      </c>
      <c r="N15" s="328">
        <f>SUM(K15:M15)</f>
        <v>0</v>
      </c>
      <c r="O15" s="329">
        <f aca="true" t="shared" si="0" ref="O15:R20">G15+K15</f>
        <v>55.160000000000025</v>
      </c>
      <c r="P15" s="329">
        <f t="shared" si="0"/>
        <v>55.160000000000004</v>
      </c>
      <c r="Q15" s="329">
        <f t="shared" si="0"/>
        <v>165.48</v>
      </c>
      <c r="R15" s="328">
        <f t="shared" si="0"/>
        <v>275.8</v>
      </c>
      <c r="S15" s="329">
        <f>C15-O15</f>
        <v>3.319999999999993</v>
      </c>
      <c r="T15" s="329">
        <f aca="true" t="shared" si="1" ref="S15:V20">D15-P15</f>
        <v>3.319999999999993</v>
      </c>
      <c r="U15" s="329">
        <f t="shared" si="1"/>
        <v>9.95999999999998</v>
      </c>
      <c r="V15" s="328">
        <f t="shared" si="1"/>
        <v>16.599999999999966</v>
      </c>
      <c r="W15" s="122"/>
      <c r="X15" s="122"/>
      <c r="Y15" s="122"/>
      <c r="Z15" s="122"/>
      <c r="AA15" s="122"/>
      <c r="AB15" s="122"/>
      <c r="AC15" s="122"/>
      <c r="AD15" s="122"/>
      <c r="AE15" s="122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</row>
    <row r="16" spans="1:27" ht="12.75">
      <c r="A16" s="3">
        <v>2</v>
      </c>
      <c r="B16" s="162" t="s">
        <v>125</v>
      </c>
      <c r="C16" s="329">
        <v>877.7560000000003</v>
      </c>
      <c r="D16" s="329">
        <v>877.756</v>
      </c>
      <c r="E16" s="329">
        <v>2633.2679999999996</v>
      </c>
      <c r="F16" s="328">
        <f>SUM(C16:E16)</f>
        <v>4388.78</v>
      </c>
      <c r="G16" s="329">
        <v>785.2640000000001</v>
      </c>
      <c r="H16" s="329">
        <v>785.2640000000001</v>
      </c>
      <c r="I16" s="329">
        <v>2355.792</v>
      </c>
      <c r="J16" s="328">
        <f>SUM(G16:I16)</f>
        <v>3926.32</v>
      </c>
      <c r="K16" s="329">
        <v>94.82599999999996</v>
      </c>
      <c r="L16" s="329">
        <v>94.82600000000001</v>
      </c>
      <c r="M16" s="329">
        <v>284.478</v>
      </c>
      <c r="N16" s="328">
        <f>SUM(K16:M16)</f>
        <v>474.13</v>
      </c>
      <c r="O16" s="329">
        <f t="shared" si="0"/>
        <v>880.0900000000001</v>
      </c>
      <c r="P16" s="329">
        <f t="shared" si="0"/>
        <v>880.0900000000001</v>
      </c>
      <c r="Q16" s="329">
        <f t="shared" si="0"/>
        <v>2640.27</v>
      </c>
      <c r="R16" s="328">
        <f t="shared" si="0"/>
        <v>4400.45</v>
      </c>
      <c r="S16" s="329">
        <f t="shared" si="1"/>
        <v>-2.3339999999998327</v>
      </c>
      <c r="T16" s="329">
        <f t="shared" si="1"/>
        <v>-2.3340000000001737</v>
      </c>
      <c r="U16" s="329">
        <f t="shared" si="1"/>
        <v>-7.0020000000004075</v>
      </c>
      <c r="V16" s="328">
        <f t="shared" si="1"/>
        <v>-11.670000000000073</v>
      </c>
      <c r="X16" s="668"/>
      <c r="Y16" s="668"/>
      <c r="Z16" s="668"/>
      <c r="AA16" s="668"/>
    </row>
    <row r="17" spans="1:22" ht="12.75">
      <c r="A17" s="3">
        <v>3</v>
      </c>
      <c r="B17" s="161" t="s">
        <v>126</v>
      </c>
      <c r="C17" s="329">
        <v>36.84200000000001</v>
      </c>
      <c r="D17" s="329">
        <v>36.842000000000006</v>
      </c>
      <c r="E17" s="329">
        <v>110.526</v>
      </c>
      <c r="F17" s="328">
        <f>SUM(C17:E17)</f>
        <v>184.21000000000004</v>
      </c>
      <c r="G17" s="329">
        <v>34.75</v>
      </c>
      <c r="H17" s="329">
        <v>34.75</v>
      </c>
      <c r="I17" s="329">
        <v>104.25</v>
      </c>
      <c r="J17" s="328">
        <f>SUM(G17:I17)</f>
        <v>173.75</v>
      </c>
      <c r="K17" s="329">
        <v>0</v>
      </c>
      <c r="L17" s="329">
        <v>0</v>
      </c>
      <c r="M17" s="329">
        <v>0</v>
      </c>
      <c r="N17" s="328">
        <f>SUM(K17:M17)</f>
        <v>0</v>
      </c>
      <c r="O17" s="329">
        <f t="shared" si="0"/>
        <v>34.75</v>
      </c>
      <c r="P17" s="329">
        <f t="shared" si="0"/>
        <v>34.75</v>
      </c>
      <c r="Q17" s="329">
        <f t="shared" si="0"/>
        <v>104.25</v>
      </c>
      <c r="R17" s="328">
        <f t="shared" si="0"/>
        <v>173.75</v>
      </c>
      <c r="S17" s="329">
        <f t="shared" si="1"/>
        <v>2.092000000000013</v>
      </c>
      <c r="T17" s="329">
        <f t="shared" si="1"/>
        <v>2.092000000000006</v>
      </c>
      <c r="U17" s="329">
        <f t="shared" si="1"/>
        <v>6.275999999999996</v>
      </c>
      <c r="V17" s="328">
        <f t="shared" si="1"/>
        <v>10.460000000000036</v>
      </c>
    </row>
    <row r="18" spans="1:22" ht="12.75">
      <c r="A18" s="3">
        <v>4</v>
      </c>
      <c r="B18" s="162" t="s">
        <v>127</v>
      </c>
      <c r="C18" s="329">
        <v>29.135999999999996</v>
      </c>
      <c r="D18" s="329">
        <v>29.136000000000003</v>
      </c>
      <c r="E18" s="329">
        <v>87.408</v>
      </c>
      <c r="F18" s="328">
        <f>SUM(C18:E18)</f>
        <v>145.68</v>
      </c>
      <c r="G18" s="329">
        <v>28.988</v>
      </c>
      <c r="H18" s="329">
        <v>28.988</v>
      </c>
      <c r="I18" s="329">
        <v>86.964</v>
      </c>
      <c r="J18" s="328">
        <f>SUM(G18:I18)</f>
        <v>144.94</v>
      </c>
      <c r="K18" s="329">
        <v>0</v>
      </c>
      <c r="L18" s="329">
        <v>0</v>
      </c>
      <c r="M18" s="329">
        <v>0</v>
      </c>
      <c r="N18" s="328">
        <f>SUM(K18:M18)</f>
        <v>0</v>
      </c>
      <c r="O18" s="329">
        <f t="shared" si="0"/>
        <v>28.988</v>
      </c>
      <c r="P18" s="329">
        <f t="shared" si="0"/>
        <v>28.988</v>
      </c>
      <c r="Q18" s="329">
        <f t="shared" si="0"/>
        <v>86.964</v>
      </c>
      <c r="R18" s="328">
        <f t="shared" si="0"/>
        <v>144.94</v>
      </c>
      <c r="S18" s="329">
        <f t="shared" si="1"/>
        <v>0.14799999999999613</v>
      </c>
      <c r="T18" s="329">
        <f t="shared" si="1"/>
        <v>0.14800000000000324</v>
      </c>
      <c r="U18" s="329">
        <f t="shared" si="1"/>
        <v>0.4440000000000026</v>
      </c>
      <c r="V18" s="328">
        <f t="shared" si="1"/>
        <v>0.7400000000000091</v>
      </c>
    </row>
    <row r="19" spans="1:22" ht="12.75">
      <c r="A19" s="262">
        <v>5</v>
      </c>
      <c r="B19" s="161" t="s">
        <v>128</v>
      </c>
      <c r="C19" s="329">
        <v>330.8399999999999</v>
      </c>
      <c r="D19" s="329">
        <v>330.84000000000003</v>
      </c>
      <c r="E19" s="329">
        <v>992.52</v>
      </c>
      <c r="F19" s="328">
        <f>SUM(C19:E19)</f>
        <v>1654.1999999999998</v>
      </c>
      <c r="G19" s="329">
        <v>198.50400000000002</v>
      </c>
      <c r="H19" s="329">
        <v>198.50400000000002</v>
      </c>
      <c r="I19" s="329">
        <v>595.512</v>
      </c>
      <c r="J19" s="328">
        <f>SUM(G19:I19)</f>
        <v>992.52</v>
      </c>
      <c r="K19" s="329">
        <v>132.08799999999997</v>
      </c>
      <c r="L19" s="329">
        <v>132.08800000000002</v>
      </c>
      <c r="M19" s="329">
        <v>396.264</v>
      </c>
      <c r="N19" s="328">
        <f>SUM(K19:M19)</f>
        <v>660.44</v>
      </c>
      <c r="O19" s="329">
        <f t="shared" si="0"/>
        <v>330.592</v>
      </c>
      <c r="P19" s="329">
        <f t="shared" si="0"/>
        <v>330.59200000000004</v>
      </c>
      <c r="Q19" s="329">
        <f t="shared" si="0"/>
        <v>991.776</v>
      </c>
      <c r="R19" s="328">
        <f t="shared" si="0"/>
        <v>1652.96</v>
      </c>
      <c r="S19" s="329">
        <f t="shared" si="1"/>
        <v>0.2479999999999336</v>
      </c>
      <c r="T19" s="329">
        <f t="shared" si="1"/>
        <v>0.24799999999999045</v>
      </c>
      <c r="U19" s="329">
        <f t="shared" si="1"/>
        <v>0.7440000000000282</v>
      </c>
      <c r="V19" s="328">
        <f t="shared" si="1"/>
        <v>1.2399999999997817</v>
      </c>
    </row>
    <row r="20" spans="1:22" s="16" customFormat="1" ht="12.75">
      <c r="A20" s="223"/>
      <c r="B20" s="234" t="s">
        <v>86</v>
      </c>
      <c r="C20" s="327">
        <f aca="true" t="shared" si="2" ref="C20:N20">SUM(C15:C19)</f>
        <v>1333.054</v>
      </c>
      <c r="D20" s="327">
        <f t="shared" si="2"/>
        <v>1333.054</v>
      </c>
      <c r="E20" s="327">
        <f t="shared" si="2"/>
        <v>3999.1619999999994</v>
      </c>
      <c r="F20" s="328">
        <f t="shared" si="2"/>
        <v>6665.2699999999995</v>
      </c>
      <c r="G20" s="327">
        <f t="shared" si="2"/>
        <v>1102.6660000000002</v>
      </c>
      <c r="H20" s="327">
        <f t="shared" si="2"/>
        <v>1102.6660000000002</v>
      </c>
      <c r="I20" s="327">
        <f t="shared" si="2"/>
        <v>3307.9979999999996</v>
      </c>
      <c r="J20" s="328">
        <f t="shared" si="2"/>
        <v>5513.33</v>
      </c>
      <c r="K20" s="327">
        <f t="shared" si="2"/>
        <v>226.91399999999993</v>
      </c>
      <c r="L20" s="327">
        <f t="shared" si="2"/>
        <v>226.91400000000004</v>
      </c>
      <c r="M20" s="327">
        <f t="shared" si="2"/>
        <v>680.742</v>
      </c>
      <c r="N20" s="328">
        <f t="shared" si="2"/>
        <v>1134.5700000000002</v>
      </c>
      <c r="O20" s="329">
        <f t="shared" si="0"/>
        <v>1329.5800000000002</v>
      </c>
      <c r="P20" s="329">
        <f t="shared" si="0"/>
        <v>1329.5800000000002</v>
      </c>
      <c r="Q20" s="329">
        <f t="shared" si="0"/>
        <v>3988.74</v>
      </c>
      <c r="R20" s="328">
        <f t="shared" si="0"/>
        <v>6647.9</v>
      </c>
      <c r="S20" s="329">
        <f t="shared" si="1"/>
        <v>3.4739999999999327</v>
      </c>
      <c r="T20" s="329">
        <f t="shared" si="1"/>
        <v>3.4739999999999327</v>
      </c>
      <c r="U20" s="329">
        <f t="shared" si="1"/>
        <v>10.42199999999957</v>
      </c>
      <c r="V20" s="328">
        <f t="shared" si="1"/>
        <v>17.36999999999989</v>
      </c>
    </row>
    <row r="21" spans="1:22" ht="12.75">
      <c r="A21" s="3"/>
      <c r="B21" s="163" t="s">
        <v>233</v>
      </c>
      <c r="C21" s="329"/>
      <c r="D21" s="329"/>
      <c r="E21" s="329"/>
      <c r="F21" s="328"/>
      <c r="G21" s="329"/>
      <c r="H21" s="329"/>
      <c r="I21" s="329"/>
      <c r="J21" s="328"/>
      <c r="K21" s="329"/>
      <c r="L21" s="329"/>
      <c r="M21" s="329"/>
      <c r="N21" s="328"/>
      <c r="O21" s="329"/>
      <c r="P21" s="329"/>
      <c r="Q21" s="329"/>
      <c r="R21" s="328"/>
      <c r="S21" s="329"/>
      <c r="T21" s="329"/>
      <c r="U21" s="329"/>
      <c r="V21" s="328"/>
    </row>
    <row r="22" spans="1:22" ht="12.75">
      <c r="A22" s="3">
        <v>6</v>
      </c>
      <c r="B22" s="161" t="s">
        <v>1001</v>
      </c>
      <c r="C22" s="329">
        <v>37.639999999999986</v>
      </c>
      <c r="D22" s="329">
        <v>37.64</v>
      </c>
      <c r="E22" s="329">
        <v>112.91999999999999</v>
      </c>
      <c r="F22" s="328">
        <f>SUM(C22:E22)</f>
        <v>188.2</v>
      </c>
      <c r="G22" s="329">
        <v>0</v>
      </c>
      <c r="H22" s="329">
        <v>0</v>
      </c>
      <c r="I22" s="329">
        <v>0</v>
      </c>
      <c r="J22" s="328">
        <f>SUM(G22:I22)</f>
        <v>0</v>
      </c>
      <c r="K22" s="329">
        <v>0</v>
      </c>
      <c r="L22" s="329">
        <v>0</v>
      </c>
      <c r="M22" s="329">
        <v>0</v>
      </c>
      <c r="N22" s="328">
        <f>SUM(K22:M22)</f>
        <v>0</v>
      </c>
      <c r="O22" s="329">
        <f aca="true" t="shared" si="3" ref="O22:R23">G22+K22</f>
        <v>0</v>
      </c>
      <c r="P22" s="329">
        <f t="shared" si="3"/>
        <v>0</v>
      </c>
      <c r="Q22" s="329">
        <f t="shared" si="3"/>
        <v>0</v>
      </c>
      <c r="R22" s="328">
        <f t="shared" si="3"/>
        <v>0</v>
      </c>
      <c r="S22" s="329">
        <f aca="true" t="shared" si="4" ref="S22:V23">C22-O22</f>
        <v>37.639999999999986</v>
      </c>
      <c r="T22" s="329">
        <f t="shared" si="4"/>
        <v>37.64</v>
      </c>
      <c r="U22" s="329">
        <f t="shared" si="4"/>
        <v>112.91999999999999</v>
      </c>
      <c r="V22" s="328">
        <f t="shared" si="4"/>
        <v>188.2</v>
      </c>
    </row>
    <row r="23" spans="1:22" ht="12.75">
      <c r="A23" s="3">
        <v>7</v>
      </c>
      <c r="B23" s="162" t="s">
        <v>129</v>
      </c>
      <c r="C23" s="329">
        <v>76.37200000000001</v>
      </c>
      <c r="D23" s="329">
        <v>76.372</v>
      </c>
      <c r="E23" s="329">
        <v>229.116</v>
      </c>
      <c r="F23" s="328">
        <f>SUM(C23:E23)</f>
        <v>381.86</v>
      </c>
      <c r="G23" s="329">
        <v>0</v>
      </c>
      <c r="H23" s="329">
        <v>0</v>
      </c>
      <c r="I23" s="329">
        <v>0</v>
      </c>
      <c r="J23" s="328">
        <f>SUM(G23:I23)</f>
        <v>0</v>
      </c>
      <c r="K23" s="329">
        <v>0</v>
      </c>
      <c r="L23" s="329">
        <v>0</v>
      </c>
      <c r="M23" s="329">
        <v>0</v>
      </c>
      <c r="N23" s="328">
        <f>SUM(K23:M23)</f>
        <v>0</v>
      </c>
      <c r="O23" s="329">
        <f t="shared" si="3"/>
        <v>0</v>
      </c>
      <c r="P23" s="329">
        <f t="shared" si="3"/>
        <v>0</v>
      </c>
      <c r="Q23" s="329">
        <f t="shared" si="3"/>
        <v>0</v>
      </c>
      <c r="R23" s="328">
        <f t="shared" si="3"/>
        <v>0</v>
      </c>
      <c r="S23" s="329">
        <f t="shared" si="4"/>
        <v>76.37200000000001</v>
      </c>
      <c r="T23" s="329">
        <f t="shared" si="4"/>
        <v>76.372</v>
      </c>
      <c r="U23" s="329">
        <f t="shared" si="4"/>
        <v>229.116</v>
      </c>
      <c r="V23" s="328">
        <f t="shared" si="4"/>
        <v>381.86</v>
      </c>
    </row>
    <row r="24" spans="1:22" ht="12.75">
      <c r="A24" s="3">
        <v>8</v>
      </c>
      <c r="B24" s="161" t="s">
        <v>1037</v>
      </c>
      <c r="C24" s="329">
        <v>65.25999999999999</v>
      </c>
      <c r="D24" s="329">
        <v>65.26</v>
      </c>
      <c r="E24" s="329">
        <v>195.78</v>
      </c>
      <c r="F24" s="328">
        <f>SUM(C24:E24)</f>
        <v>326.29999999999995</v>
      </c>
      <c r="G24" s="329">
        <v>0</v>
      </c>
      <c r="H24" s="329">
        <v>0</v>
      </c>
      <c r="I24" s="329">
        <v>0</v>
      </c>
      <c r="J24" s="328">
        <f>SUM(G24:I24)</f>
        <v>0</v>
      </c>
      <c r="K24" s="329">
        <v>0</v>
      </c>
      <c r="L24" s="329">
        <v>0</v>
      </c>
      <c r="M24" s="329">
        <v>0</v>
      </c>
      <c r="N24" s="328">
        <f>SUM(K24:M24)</f>
        <v>0</v>
      </c>
      <c r="O24" s="329">
        <f>G24+K24</f>
        <v>0</v>
      </c>
      <c r="P24" s="329">
        <f>H24+L24</f>
        <v>0</v>
      </c>
      <c r="Q24" s="329">
        <f>I24+M24</f>
        <v>0</v>
      </c>
      <c r="R24" s="328">
        <f>J24+N24</f>
        <v>0</v>
      </c>
      <c r="S24" s="329">
        <f>C24-O24</f>
        <v>65.25999999999999</v>
      </c>
      <c r="T24" s="329">
        <f>D24-P24</f>
        <v>65.26</v>
      </c>
      <c r="U24" s="329">
        <f>E24-Q24</f>
        <v>195.78</v>
      </c>
      <c r="V24" s="328">
        <f>F24-R24</f>
        <v>326.29999999999995</v>
      </c>
    </row>
    <row r="25" spans="1:22" ht="12.75">
      <c r="A25" s="9"/>
      <c r="B25" s="162" t="s">
        <v>86</v>
      </c>
      <c r="C25" s="329">
        <f aca="true" t="shared" si="5" ref="C25:V25">SUM(C22:C24)</f>
        <v>179.272</v>
      </c>
      <c r="D25" s="329">
        <f t="shared" si="5"/>
        <v>179.272</v>
      </c>
      <c r="E25" s="329">
        <f t="shared" si="5"/>
        <v>537.816</v>
      </c>
      <c r="F25" s="328">
        <f t="shared" si="5"/>
        <v>896.3599999999999</v>
      </c>
      <c r="G25" s="329">
        <f t="shared" si="5"/>
        <v>0</v>
      </c>
      <c r="H25" s="329">
        <f t="shared" si="5"/>
        <v>0</v>
      </c>
      <c r="I25" s="329">
        <f t="shared" si="5"/>
        <v>0</v>
      </c>
      <c r="J25" s="328">
        <f t="shared" si="5"/>
        <v>0</v>
      </c>
      <c r="K25" s="329">
        <f t="shared" si="5"/>
        <v>0</v>
      </c>
      <c r="L25" s="329">
        <f t="shared" si="5"/>
        <v>0</v>
      </c>
      <c r="M25" s="329">
        <f t="shared" si="5"/>
        <v>0</v>
      </c>
      <c r="N25" s="328">
        <f t="shared" si="5"/>
        <v>0</v>
      </c>
      <c r="O25" s="329">
        <f t="shared" si="5"/>
        <v>0</v>
      </c>
      <c r="P25" s="329">
        <f t="shared" si="5"/>
        <v>0</v>
      </c>
      <c r="Q25" s="329">
        <f t="shared" si="5"/>
        <v>0</v>
      </c>
      <c r="R25" s="328">
        <f t="shared" si="5"/>
        <v>0</v>
      </c>
      <c r="S25" s="329">
        <f t="shared" si="5"/>
        <v>179.272</v>
      </c>
      <c r="T25" s="329">
        <f t="shared" si="5"/>
        <v>179.272</v>
      </c>
      <c r="U25" s="329">
        <f t="shared" si="5"/>
        <v>537.816</v>
      </c>
      <c r="V25" s="328">
        <f t="shared" si="5"/>
        <v>896.3599999999999</v>
      </c>
    </row>
    <row r="26" spans="1:22" ht="12.75">
      <c r="A26" s="9"/>
      <c r="B26" s="162" t="s">
        <v>33</v>
      </c>
      <c r="C26" s="330">
        <f aca="true" t="shared" si="6" ref="C26:V26">C20+C25</f>
        <v>1512.326</v>
      </c>
      <c r="D26" s="330">
        <f t="shared" si="6"/>
        <v>1512.326</v>
      </c>
      <c r="E26" s="330">
        <f t="shared" si="6"/>
        <v>4536.977999999999</v>
      </c>
      <c r="F26" s="331">
        <f t="shared" si="6"/>
        <v>7561.629999999999</v>
      </c>
      <c r="G26" s="330">
        <f t="shared" si="6"/>
        <v>1102.6660000000002</v>
      </c>
      <c r="H26" s="330">
        <f t="shared" si="6"/>
        <v>1102.6660000000002</v>
      </c>
      <c r="I26" s="330">
        <f t="shared" si="6"/>
        <v>3307.9979999999996</v>
      </c>
      <c r="J26" s="331">
        <f t="shared" si="6"/>
        <v>5513.33</v>
      </c>
      <c r="K26" s="330">
        <f t="shared" si="6"/>
        <v>226.91399999999993</v>
      </c>
      <c r="L26" s="330">
        <f t="shared" si="6"/>
        <v>226.91400000000004</v>
      </c>
      <c r="M26" s="330">
        <f t="shared" si="6"/>
        <v>680.742</v>
      </c>
      <c r="N26" s="331">
        <f t="shared" si="6"/>
        <v>1134.5700000000002</v>
      </c>
      <c r="O26" s="330">
        <f t="shared" si="6"/>
        <v>1329.5800000000002</v>
      </c>
      <c r="P26" s="330">
        <f t="shared" si="6"/>
        <v>1329.5800000000002</v>
      </c>
      <c r="Q26" s="330">
        <f t="shared" si="6"/>
        <v>3988.74</v>
      </c>
      <c r="R26" s="331">
        <f t="shared" si="6"/>
        <v>6647.9</v>
      </c>
      <c r="S26" s="330">
        <f t="shared" si="6"/>
        <v>182.74599999999992</v>
      </c>
      <c r="T26" s="330">
        <f t="shared" si="6"/>
        <v>182.74599999999992</v>
      </c>
      <c r="U26" s="330">
        <f t="shared" si="6"/>
        <v>548.2379999999996</v>
      </c>
      <c r="V26" s="331">
        <f t="shared" si="6"/>
        <v>913.7299999999998</v>
      </c>
    </row>
    <row r="27" spans="1:22" ht="12.75">
      <c r="A27" s="13"/>
      <c r="B27" s="263"/>
      <c r="C27" s="576"/>
      <c r="D27" s="576"/>
      <c r="E27" s="576"/>
      <c r="F27" s="577"/>
      <c r="G27" s="576"/>
      <c r="H27" s="576"/>
      <c r="I27" s="576"/>
      <c r="J27" s="577"/>
      <c r="K27" s="576"/>
      <c r="L27" s="576"/>
      <c r="M27" s="576"/>
      <c r="N27" s="577"/>
      <c r="O27" s="576"/>
      <c r="P27" s="576"/>
      <c r="Q27" s="576"/>
      <c r="R27" s="577"/>
      <c r="S27" s="576"/>
      <c r="T27" s="576"/>
      <c r="U27" s="576"/>
      <c r="V27" s="577"/>
    </row>
    <row r="28" spans="1:22" ht="12.75">
      <c r="A28" s="13" t="s">
        <v>556</v>
      </c>
      <c r="B28" s="263" t="s">
        <v>1035</v>
      </c>
      <c r="C28" s="13"/>
      <c r="D28" s="13"/>
      <c r="E28" s="13"/>
      <c r="F28" s="264"/>
      <c r="G28" s="13"/>
      <c r="H28" s="13"/>
      <c r="I28" s="13"/>
      <c r="J28" s="26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ht="12.75">
      <c r="A29" s="13"/>
      <c r="B29" s="263" t="s">
        <v>1036</v>
      </c>
      <c r="C29" s="13"/>
      <c r="D29" s="13"/>
      <c r="E29" s="13"/>
      <c r="F29" s="264"/>
      <c r="G29" s="13"/>
      <c r="H29" s="13"/>
      <c r="I29" s="13"/>
      <c r="J29" s="264"/>
      <c r="K29" s="21" t="s">
        <v>11</v>
      </c>
      <c r="L29" s="13"/>
      <c r="M29" s="13"/>
      <c r="N29" s="21" t="s">
        <v>11</v>
      </c>
      <c r="O29" s="21" t="s">
        <v>11</v>
      </c>
      <c r="P29" s="13"/>
      <c r="Q29" s="13"/>
      <c r="R29" s="13"/>
      <c r="S29" s="13"/>
      <c r="T29" s="13"/>
      <c r="U29" s="13"/>
      <c r="V29" s="13"/>
    </row>
    <row r="30" spans="1:22" ht="12.75">
      <c r="A30" s="21"/>
      <c r="B30" s="722" t="s">
        <v>11</v>
      </c>
      <c r="C30" s="722"/>
      <c r="D30" s="722"/>
      <c r="E30" s="722"/>
      <c r="F30" s="722"/>
      <c r="G30" s="722"/>
      <c r="H30" s="722"/>
      <c r="I30" s="722"/>
      <c r="J30" s="722"/>
      <c r="K30" s="722"/>
      <c r="L30" s="722"/>
      <c r="M30" s="722"/>
      <c r="N30" s="722"/>
      <c r="O30" s="13"/>
      <c r="P30" s="13" t="s">
        <v>11</v>
      </c>
      <c r="Q30" s="13"/>
      <c r="R30" s="13"/>
      <c r="S30" s="13"/>
      <c r="T30" s="13"/>
      <c r="U30" s="13"/>
      <c r="V30" s="13"/>
    </row>
    <row r="31" spans="2:18" ht="12.75">
      <c r="B31" s="721"/>
      <c r="C31" s="721"/>
      <c r="D31" s="721"/>
      <c r="E31" s="721"/>
      <c r="F31" s="721"/>
      <c r="G31" s="721"/>
      <c r="H31" s="721"/>
      <c r="I31" s="721"/>
      <c r="J31" s="721"/>
      <c r="K31" s="721"/>
      <c r="L31" s="721"/>
      <c r="M31" s="721"/>
      <c r="N31" s="721"/>
      <c r="O31" s="721"/>
      <c r="P31" s="16" t="s">
        <v>11</v>
      </c>
      <c r="Q31" t="s">
        <v>11</v>
      </c>
      <c r="R31" t="s">
        <v>11</v>
      </c>
    </row>
    <row r="32" spans="2:15" ht="12.75">
      <c r="B32" s="479"/>
      <c r="C32" s="479"/>
      <c r="D32" s="479"/>
      <c r="E32" s="479"/>
      <c r="F32" s="479"/>
      <c r="G32" s="479" t="s">
        <v>11</v>
      </c>
      <c r="H32" s="479"/>
      <c r="I32" s="479"/>
      <c r="J32" s="479"/>
      <c r="K32" s="479" t="s">
        <v>11</v>
      </c>
      <c r="L32" s="479"/>
      <c r="M32" s="479"/>
      <c r="N32" s="479" t="s">
        <v>11</v>
      </c>
      <c r="O32" s="470"/>
    </row>
    <row r="33" spans="2:31" ht="12.75" customHeight="1">
      <c r="B33" s="15"/>
      <c r="C33" s="15"/>
      <c r="D33" s="15"/>
      <c r="E33" s="15"/>
      <c r="F33" s="15"/>
      <c r="G33" s="15"/>
      <c r="H33" s="15"/>
      <c r="I33" s="15"/>
      <c r="J33" s="15"/>
      <c r="K33" s="15" t="s">
        <v>11</v>
      </c>
      <c r="L33" s="15"/>
      <c r="M33" s="15" t="s">
        <v>11</v>
      </c>
      <c r="N33" s="15"/>
      <c r="O33" s="15"/>
      <c r="P33" s="15"/>
      <c r="Q33" s="15"/>
      <c r="R33" s="699"/>
      <c r="S33" s="699"/>
      <c r="T33" s="699"/>
      <c r="U33" s="699"/>
      <c r="V33" s="699"/>
      <c r="W33" s="16"/>
      <c r="X33" s="16"/>
      <c r="Y33" s="16"/>
      <c r="Z33" s="16"/>
      <c r="AD33" s="16"/>
      <c r="AE33" s="16"/>
    </row>
    <row r="34" spans="1:31" ht="12.75" customHeight="1">
      <c r="A34" s="15" t="s">
        <v>12</v>
      </c>
      <c r="B34" s="86"/>
      <c r="C34" s="86"/>
      <c r="D34" s="86"/>
      <c r="E34" s="86" t="s">
        <v>11</v>
      </c>
      <c r="F34" s="86"/>
      <c r="G34" s="86"/>
      <c r="H34" s="86"/>
      <c r="I34" s="86"/>
      <c r="J34" s="86"/>
      <c r="K34" s="86" t="s">
        <v>11</v>
      </c>
      <c r="L34" s="86"/>
      <c r="M34" s="86"/>
      <c r="N34" s="86"/>
      <c r="O34" s="86"/>
      <c r="P34" s="86"/>
      <c r="Q34" s="86"/>
      <c r="R34" s="699" t="s">
        <v>1062</v>
      </c>
      <c r="S34" s="699"/>
      <c r="T34" s="699"/>
      <c r="U34" s="699"/>
      <c r="V34" s="699"/>
      <c r="W34" s="86"/>
      <c r="X34" s="86"/>
      <c r="Y34" s="86"/>
      <c r="Z34" s="86"/>
      <c r="AA34" s="86"/>
      <c r="AB34" s="86"/>
      <c r="AC34" s="86"/>
      <c r="AD34" s="16"/>
      <c r="AE34" s="16"/>
    </row>
    <row r="35" spans="2:36" ht="12.75" customHeight="1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699" t="s">
        <v>485</v>
      </c>
      <c r="S35" s="699"/>
      <c r="T35" s="699"/>
      <c r="U35" s="699"/>
      <c r="V35" s="699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</row>
    <row r="36" spans="1:31" ht="12.75">
      <c r="A36" s="15"/>
      <c r="B36" s="15"/>
      <c r="C36" s="15" t="s">
        <v>11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" t="s">
        <v>80</v>
      </c>
      <c r="T36" s="1"/>
      <c r="U36" s="1"/>
      <c r="V36" s="1"/>
      <c r="W36" s="15"/>
      <c r="X36" s="15"/>
      <c r="Y36" s="15"/>
      <c r="AD36" s="15"/>
      <c r="AE36" s="15"/>
    </row>
  </sheetData>
  <sheetProtection/>
  <mergeCells count="22">
    <mergeCell ref="X16:AA16"/>
    <mergeCell ref="AA9:AC9"/>
    <mergeCell ref="C10:F11"/>
    <mergeCell ref="G11:J11"/>
    <mergeCell ref="K11:N11"/>
    <mergeCell ref="U9:V9"/>
    <mergeCell ref="B31:O31"/>
    <mergeCell ref="A7:C7"/>
    <mergeCell ref="B30:N30"/>
    <mergeCell ref="A3:V3"/>
    <mergeCell ref="A4:V4"/>
    <mergeCell ref="A6:V6"/>
    <mergeCell ref="T2:V2"/>
    <mergeCell ref="R34:V34"/>
    <mergeCell ref="R35:V35"/>
    <mergeCell ref="R33:V33"/>
    <mergeCell ref="A10:A12"/>
    <mergeCell ref="B10:B12"/>
    <mergeCell ref="O11:R11"/>
    <mergeCell ref="G10:R10"/>
    <mergeCell ref="S10:V11"/>
    <mergeCell ref="G2:O2"/>
  </mergeCells>
  <printOptions horizontalCentered="1"/>
  <pageMargins left="0.58" right="0.24" top="1.64" bottom="0" header="1.4" footer="0.31496062992126"/>
  <pageSetup fitToHeight="1" fitToWidth="1" horizontalDpi="600" verticalDpi="600" orientation="landscape" paperSize="9" scale="68" r:id="rId1"/>
  <colBreaks count="1" manualBreakCount="1">
    <brk id="22" max="6553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SheetLayoutView="100" zoomScalePageLayoutView="0" workbookViewId="0" topLeftCell="A1">
      <selection activeCell="L23" sqref="L23:O23"/>
    </sheetView>
  </sheetViews>
  <sheetFormatPr defaultColWidth="9.140625" defaultRowHeight="12.75"/>
  <cols>
    <col min="1" max="1" width="5.57421875" style="0" customWidth="1"/>
    <col min="2" max="2" width="10.421875" style="0" customWidth="1"/>
    <col min="3" max="3" width="11.8515625" style="0" customWidth="1"/>
    <col min="5" max="6" width="10.8515625" style="0" customWidth="1"/>
    <col min="7" max="7" width="14.140625" style="0" customWidth="1"/>
    <col min="8" max="8" width="11.57421875" style="0" customWidth="1"/>
    <col min="9" max="12" width="10.421875" style="0" customWidth="1"/>
    <col min="13" max="13" width="11.00390625" style="0" customWidth="1"/>
    <col min="14" max="14" width="10.00390625" style="0" customWidth="1"/>
    <col min="15" max="15" width="11.8515625" style="0" customWidth="1"/>
  </cols>
  <sheetData>
    <row r="1" spans="1:15" ht="18">
      <c r="A1" s="760" t="s">
        <v>550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  <c r="O1" s="477" t="s">
        <v>722</v>
      </c>
    </row>
    <row r="2" spans="1:15" ht="21">
      <c r="A2" s="761" t="s">
        <v>878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</row>
    <row r="3" spans="1:11" ht="15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5" ht="18">
      <c r="A4" s="760" t="s">
        <v>723</v>
      </c>
      <c r="B4" s="760"/>
      <c r="C4" s="760"/>
      <c r="D4" s="760"/>
      <c r="E4" s="760"/>
      <c r="F4" s="760"/>
      <c r="G4" s="760"/>
      <c r="H4" s="760"/>
      <c r="I4" s="760"/>
      <c r="J4" s="760"/>
      <c r="K4" s="760"/>
      <c r="L4" s="760"/>
      <c r="M4" s="760"/>
      <c r="N4" s="760"/>
      <c r="O4" s="760"/>
    </row>
    <row r="5" spans="1:11" ht="15">
      <c r="A5" s="184" t="s">
        <v>482</v>
      </c>
      <c r="B5" s="184"/>
      <c r="C5" s="184"/>
      <c r="D5" s="184"/>
      <c r="E5" s="184"/>
      <c r="F5" s="184"/>
      <c r="G5" s="184"/>
      <c r="H5" s="184"/>
      <c r="I5" s="184"/>
      <c r="J5" s="184"/>
      <c r="K5" s="183"/>
    </row>
    <row r="6" spans="1:15" ht="15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3"/>
      <c r="M6" s="763" t="s">
        <v>931</v>
      </c>
      <c r="N6" s="763"/>
      <c r="O6" s="763"/>
    </row>
    <row r="7" spans="1:15" s="270" customFormat="1" ht="30" customHeight="1">
      <c r="A7" s="872" t="s">
        <v>2</v>
      </c>
      <c r="B7" s="872" t="s">
        <v>3</v>
      </c>
      <c r="C7" s="872" t="s">
        <v>305</v>
      </c>
      <c r="D7" s="870" t="s">
        <v>306</v>
      </c>
      <c r="E7" s="870" t="s">
        <v>307</v>
      </c>
      <c r="F7" s="870" t="s">
        <v>308</v>
      </c>
      <c r="G7" s="870" t="s">
        <v>309</v>
      </c>
      <c r="H7" s="872" t="s">
        <v>310</v>
      </c>
      <c r="I7" s="872"/>
      <c r="J7" s="872" t="s">
        <v>311</v>
      </c>
      <c r="K7" s="872"/>
      <c r="L7" s="872" t="s">
        <v>859</v>
      </c>
      <c r="M7" s="872"/>
      <c r="N7" s="872" t="s">
        <v>312</v>
      </c>
      <c r="O7" s="872"/>
    </row>
    <row r="8" spans="1:15" s="270" customFormat="1" ht="51.75" customHeight="1">
      <c r="A8" s="872"/>
      <c r="B8" s="872"/>
      <c r="C8" s="872"/>
      <c r="D8" s="871"/>
      <c r="E8" s="871"/>
      <c r="F8" s="871"/>
      <c r="G8" s="871"/>
      <c r="H8" s="357" t="s">
        <v>313</v>
      </c>
      <c r="I8" s="357" t="s">
        <v>314</v>
      </c>
      <c r="J8" s="357" t="s">
        <v>313</v>
      </c>
      <c r="K8" s="357" t="s">
        <v>314</v>
      </c>
      <c r="L8" s="357" t="s">
        <v>313</v>
      </c>
      <c r="M8" s="357" t="s">
        <v>314</v>
      </c>
      <c r="N8" s="357" t="s">
        <v>313</v>
      </c>
      <c r="O8" s="357" t="s">
        <v>314</v>
      </c>
    </row>
    <row r="9" spans="1:15" ht="15">
      <c r="A9" s="185" t="s">
        <v>260</v>
      </c>
      <c r="B9" s="185" t="s">
        <v>261</v>
      </c>
      <c r="C9" s="185" t="s">
        <v>262</v>
      </c>
      <c r="D9" s="185" t="s">
        <v>263</v>
      </c>
      <c r="E9" s="185" t="s">
        <v>264</v>
      </c>
      <c r="F9" s="185" t="s">
        <v>265</v>
      </c>
      <c r="G9" s="185" t="s">
        <v>266</v>
      </c>
      <c r="H9" s="185" t="s">
        <v>267</v>
      </c>
      <c r="I9" s="185" t="s">
        <v>286</v>
      </c>
      <c r="J9" s="185" t="s">
        <v>287</v>
      </c>
      <c r="K9" s="185" t="s">
        <v>288</v>
      </c>
      <c r="L9" s="185" t="s">
        <v>315</v>
      </c>
      <c r="M9" s="185" t="s">
        <v>316</v>
      </c>
      <c r="N9" s="185" t="s">
        <v>317</v>
      </c>
      <c r="O9" s="185" t="s">
        <v>318</v>
      </c>
    </row>
    <row r="10" spans="1:15" ht="12.75">
      <c r="A10" s="8">
        <v>1</v>
      </c>
      <c r="B10" s="19" t="s">
        <v>473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2.75">
      <c r="A11" s="8">
        <v>2</v>
      </c>
      <c r="B11" s="19" t="s">
        <v>474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2.75">
      <c r="A12" s="8">
        <v>3</v>
      </c>
      <c r="B12" s="19" t="s">
        <v>475</v>
      </c>
      <c r="C12" s="9"/>
      <c r="D12" s="9"/>
      <c r="E12" s="9"/>
      <c r="F12" s="9"/>
      <c r="G12" s="953" t="s">
        <v>509</v>
      </c>
      <c r="H12" s="954"/>
      <c r="I12" s="954"/>
      <c r="J12" s="954"/>
      <c r="K12" s="954"/>
      <c r="L12" s="954"/>
      <c r="M12" s="955"/>
      <c r="N12" s="9"/>
      <c r="O12" s="9"/>
    </row>
    <row r="13" spans="1:15" ht="12.75">
      <c r="A13" s="8">
        <v>4</v>
      </c>
      <c r="B13" s="19" t="s">
        <v>476</v>
      </c>
      <c r="C13" s="9"/>
      <c r="D13" s="9"/>
      <c r="E13" s="9"/>
      <c r="F13" s="9"/>
      <c r="G13" s="956"/>
      <c r="H13" s="957"/>
      <c r="I13" s="957"/>
      <c r="J13" s="957"/>
      <c r="K13" s="957"/>
      <c r="L13" s="957"/>
      <c r="M13" s="958"/>
      <c r="N13" s="9"/>
      <c r="O13" s="9"/>
    </row>
    <row r="14" spans="1:15" ht="12.75">
      <c r="A14" s="8">
        <v>5</v>
      </c>
      <c r="B14" s="19" t="s">
        <v>477</v>
      </c>
      <c r="C14" s="9"/>
      <c r="D14" s="9"/>
      <c r="E14" s="9"/>
      <c r="F14" s="9"/>
      <c r="G14" s="956"/>
      <c r="H14" s="957"/>
      <c r="I14" s="957"/>
      <c r="J14" s="957"/>
      <c r="K14" s="957"/>
      <c r="L14" s="957"/>
      <c r="M14" s="958"/>
      <c r="N14" s="9"/>
      <c r="O14" s="9"/>
    </row>
    <row r="15" spans="1:15" ht="12.75">
      <c r="A15" s="8">
        <v>6</v>
      </c>
      <c r="B15" s="19" t="s">
        <v>478</v>
      </c>
      <c r="C15" s="9"/>
      <c r="D15" s="9"/>
      <c r="E15" s="9"/>
      <c r="F15" s="9"/>
      <c r="G15" s="959"/>
      <c r="H15" s="960"/>
      <c r="I15" s="960"/>
      <c r="J15" s="960"/>
      <c r="K15" s="960"/>
      <c r="L15" s="960"/>
      <c r="M15" s="961"/>
      <c r="N15" s="9"/>
      <c r="O15" s="9"/>
    </row>
    <row r="16" spans="1:15" ht="12.75">
      <c r="A16" s="8">
        <v>7</v>
      </c>
      <c r="B16" s="19" t="s">
        <v>479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2.75">
      <c r="A17" s="8">
        <v>8</v>
      </c>
      <c r="B17" s="19" t="s">
        <v>480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2.75">
      <c r="A18" s="3"/>
      <c r="B18" s="27" t="s">
        <v>481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21" spans="1:15" ht="12.75">
      <c r="A21" s="188"/>
      <c r="B21" s="188"/>
      <c r="C21" s="188"/>
      <c r="D21" s="188"/>
      <c r="L21" s="764"/>
      <c r="M21" s="764"/>
      <c r="N21" s="764"/>
      <c r="O21" s="764"/>
    </row>
    <row r="22" spans="1:15" ht="12.75">
      <c r="A22" s="188"/>
      <c r="B22" s="188"/>
      <c r="C22" s="188"/>
      <c r="D22" s="188"/>
      <c r="L22" s="764" t="s">
        <v>1062</v>
      </c>
      <c r="M22" s="764"/>
      <c r="N22" s="764"/>
      <c r="O22" s="764"/>
    </row>
    <row r="23" spans="1:15" ht="12.75">
      <c r="A23" s="188"/>
      <c r="B23" s="188"/>
      <c r="C23" s="188"/>
      <c r="D23" s="188"/>
      <c r="L23" s="764" t="s">
        <v>484</v>
      </c>
      <c r="M23" s="764"/>
      <c r="N23" s="764"/>
      <c r="O23" s="764"/>
    </row>
    <row r="24" spans="1:15" ht="12.75">
      <c r="A24" s="188" t="s">
        <v>12</v>
      </c>
      <c r="C24" s="188"/>
      <c r="D24" s="188"/>
      <c r="L24" s="759" t="s">
        <v>549</v>
      </c>
      <c r="M24" s="759"/>
      <c r="N24" s="759"/>
      <c r="O24" s="192"/>
    </row>
  </sheetData>
  <sheetProtection/>
  <mergeCells count="20">
    <mergeCell ref="A2:O2"/>
    <mergeCell ref="L24:N24"/>
    <mergeCell ref="G7:G8"/>
    <mergeCell ref="H7:I7"/>
    <mergeCell ref="J7:K7"/>
    <mergeCell ref="L7:M7"/>
    <mergeCell ref="L23:O23"/>
    <mergeCell ref="G12:M15"/>
    <mergeCell ref="L21:O21"/>
    <mergeCell ref="L22:O22"/>
    <mergeCell ref="A1:N1"/>
    <mergeCell ref="M6:O6"/>
    <mergeCell ref="A7:A8"/>
    <mergeCell ref="B7:B8"/>
    <mergeCell ref="A4:O4"/>
    <mergeCell ref="F7:F8"/>
    <mergeCell ref="D7:D8"/>
    <mergeCell ref="E7:E8"/>
    <mergeCell ref="C7:C8"/>
    <mergeCell ref="N7:O7"/>
  </mergeCells>
  <printOptions horizontalCentered="1"/>
  <pageMargins left="0.7086614173228347" right="0.24" top="1.54" bottom="0" header="0.93" footer="0.31496062992125984"/>
  <pageSetup fitToHeight="1" fitToWidth="1" horizontalDpi="600" verticalDpi="600" orientation="landscape" paperSize="9" scale="83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view="pageBreakPreview" zoomScaleSheetLayoutView="100" zoomScalePageLayoutView="0" workbookViewId="0" topLeftCell="A4">
      <selection activeCell="I26" sqref="I26:N26"/>
    </sheetView>
  </sheetViews>
  <sheetFormatPr defaultColWidth="9.140625" defaultRowHeight="12.75"/>
  <cols>
    <col min="1" max="1" width="2.7109375" style="188" customWidth="1"/>
    <col min="2" max="2" width="5.8515625" style="188" customWidth="1"/>
    <col min="3" max="3" width="10.8515625" style="188" customWidth="1"/>
    <col min="4" max="4" width="11.421875" style="188" customWidth="1"/>
    <col min="5" max="5" width="14.7109375" style="188" customWidth="1"/>
    <col min="6" max="10" width="8.7109375" style="188" customWidth="1"/>
    <col min="11" max="12" width="9.7109375" style="188" customWidth="1"/>
    <col min="13" max="14" width="10.00390625" style="188" customWidth="1"/>
    <col min="15" max="16384" width="9.140625" style="188" customWidth="1"/>
  </cols>
  <sheetData>
    <row r="1" spans="1:14" ht="12.75">
      <c r="A1" s="188" t="s">
        <v>11</v>
      </c>
      <c r="I1" s="962"/>
      <c r="J1" s="962"/>
      <c r="M1" s="963" t="s">
        <v>724</v>
      </c>
      <c r="N1" s="963"/>
    </row>
    <row r="2" spans="1:14" s="191" customFormat="1" ht="15.75">
      <c r="A2" s="801" t="s">
        <v>0</v>
      </c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</row>
    <row r="3" spans="1:14" s="191" customFormat="1" ht="20.25" customHeight="1">
      <c r="A3" s="802" t="s">
        <v>878</v>
      </c>
      <c r="B3" s="802"/>
      <c r="C3" s="802"/>
      <c r="D3" s="802"/>
      <c r="E3" s="802"/>
      <c r="F3" s="802"/>
      <c r="G3" s="802"/>
      <c r="H3" s="802"/>
      <c r="I3" s="802"/>
      <c r="J3" s="802"/>
      <c r="K3" s="802"/>
      <c r="L3" s="802"/>
      <c r="M3" s="802"/>
      <c r="N3" s="802"/>
    </row>
    <row r="5" spans="1:14" s="191" customFormat="1" ht="15.75">
      <c r="A5" s="799" t="s">
        <v>917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873"/>
      <c r="M5" s="873"/>
      <c r="N5" s="873"/>
    </row>
    <row r="7" spans="2:11" ht="12.75">
      <c r="B7" s="193" t="s">
        <v>472</v>
      </c>
      <c r="C7" s="193"/>
      <c r="D7" s="193"/>
      <c r="E7" s="193"/>
      <c r="F7" s="193"/>
      <c r="G7" s="193"/>
      <c r="H7" s="193"/>
      <c r="I7" s="193"/>
      <c r="J7" s="193"/>
      <c r="K7" s="193"/>
    </row>
    <row r="9" spans="1:14" s="194" customFormat="1" ht="15" customHeight="1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776" t="s">
        <v>931</v>
      </c>
      <c r="M9" s="776"/>
      <c r="N9" s="776"/>
    </row>
    <row r="10" spans="1:14" s="353" customFormat="1" ht="20.25" customHeight="1">
      <c r="A10" s="352"/>
      <c r="B10" s="870" t="s">
        <v>2</v>
      </c>
      <c r="C10" s="870" t="s">
        <v>3</v>
      </c>
      <c r="D10" s="874" t="s">
        <v>269</v>
      </c>
      <c r="E10" s="874" t="s">
        <v>270</v>
      </c>
      <c r="F10" s="964" t="s">
        <v>271</v>
      </c>
      <c r="G10" s="965"/>
      <c r="H10" s="965"/>
      <c r="I10" s="965"/>
      <c r="J10" s="965"/>
      <c r="K10" s="965"/>
      <c r="L10" s="965"/>
      <c r="M10" s="965"/>
      <c r="N10" s="966"/>
    </row>
    <row r="11" spans="1:14" s="353" customFormat="1" ht="35.25" customHeight="1">
      <c r="A11" s="354"/>
      <c r="B11" s="871"/>
      <c r="C11" s="871"/>
      <c r="D11" s="875"/>
      <c r="E11" s="875"/>
      <c r="F11" s="355" t="s">
        <v>940</v>
      </c>
      <c r="G11" s="355" t="s">
        <v>272</v>
      </c>
      <c r="H11" s="355" t="s">
        <v>273</v>
      </c>
      <c r="I11" s="355" t="s">
        <v>274</v>
      </c>
      <c r="J11" s="355" t="s">
        <v>275</v>
      </c>
      <c r="K11" s="355" t="s">
        <v>276</v>
      </c>
      <c r="L11" s="355" t="s">
        <v>277</v>
      </c>
      <c r="M11" s="355" t="s">
        <v>278</v>
      </c>
      <c r="N11" s="355" t="s">
        <v>941</v>
      </c>
    </row>
    <row r="12" spans="2:14" s="194" customFormat="1" ht="12.75" customHeight="1">
      <c r="B12" s="197">
        <v>1</v>
      </c>
      <c r="C12" s="197">
        <v>2</v>
      </c>
      <c r="D12" s="197">
        <v>3</v>
      </c>
      <c r="E12" s="197">
        <v>4</v>
      </c>
      <c r="F12" s="197">
        <v>8</v>
      </c>
      <c r="G12" s="197">
        <v>9</v>
      </c>
      <c r="H12" s="197">
        <v>10</v>
      </c>
      <c r="I12" s="197">
        <v>11</v>
      </c>
      <c r="J12" s="197">
        <v>12</v>
      </c>
      <c r="K12" s="197">
        <v>13</v>
      </c>
      <c r="L12" s="197">
        <v>14</v>
      </c>
      <c r="M12" s="197">
        <v>15</v>
      </c>
      <c r="N12" s="197">
        <v>16</v>
      </c>
    </row>
    <row r="13" spans="2:14" ht="12.75">
      <c r="B13" s="8">
        <v>1</v>
      </c>
      <c r="C13" s="19" t="s">
        <v>473</v>
      </c>
      <c r="D13" s="442">
        <f>'AT-3'!G9</f>
        <v>917</v>
      </c>
      <c r="E13" s="442">
        <f aca="true" t="shared" si="0" ref="E13:N13">D13</f>
        <v>917</v>
      </c>
      <c r="F13" s="442">
        <f>E13</f>
        <v>917</v>
      </c>
      <c r="G13" s="442">
        <f t="shared" si="0"/>
        <v>917</v>
      </c>
      <c r="H13" s="442">
        <f t="shared" si="0"/>
        <v>917</v>
      </c>
      <c r="I13" s="442">
        <f t="shared" si="0"/>
        <v>917</v>
      </c>
      <c r="J13" s="442">
        <f t="shared" si="0"/>
        <v>917</v>
      </c>
      <c r="K13" s="442">
        <f t="shared" si="0"/>
        <v>917</v>
      </c>
      <c r="L13" s="442">
        <f t="shared" si="0"/>
        <v>917</v>
      </c>
      <c r="M13" s="442">
        <f t="shared" si="0"/>
        <v>917</v>
      </c>
      <c r="N13" s="442">
        <f t="shared" si="0"/>
        <v>917</v>
      </c>
    </row>
    <row r="14" spans="1:14" ht="14.25">
      <c r="A14" s="199"/>
      <c r="B14" s="8">
        <v>2</v>
      </c>
      <c r="C14" s="19" t="s">
        <v>474</v>
      </c>
      <c r="D14" s="442">
        <f>'AT-3'!G10</f>
        <v>875</v>
      </c>
      <c r="E14" s="442">
        <f aca="true" t="shared" si="1" ref="E14:E20">D14</f>
        <v>875</v>
      </c>
      <c r="F14" s="442">
        <f aca="true" t="shared" si="2" ref="F14:F20">E14</f>
        <v>875</v>
      </c>
      <c r="G14" s="442">
        <f aca="true" t="shared" si="3" ref="G14:N14">F14</f>
        <v>875</v>
      </c>
      <c r="H14" s="442">
        <f t="shared" si="3"/>
        <v>875</v>
      </c>
      <c r="I14" s="442">
        <f t="shared" si="3"/>
        <v>875</v>
      </c>
      <c r="J14" s="442">
        <f t="shared" si="3"/>
        <v>875</v>
      </c>
      <c r="K14" s="442">
        <f t="shared" si="3"/>
        <v>875</v>
      </c>
      <c r="L14" s="442">
        <f t="shared" si="3"/>
        <v>875</v>
      </c>
      <c r="M14" s="442">
        <f t="shared" si="3"/>
        <v>875</v>
      </c>
      <c r="N14" s="442">
        <f t="shared" si="3"/>
        <v>875</v>
      </c>
    </row>
    <row r="15" spans="2:14" ht="12.75">
      <c r="B15" s="8">
        <v>3</v>
      </c>
      <c r="C15" s="19" t="s">
        <v>475</v>
      </c>
      <c r="D15" s="442">
        <f>'AT-3'!G11</f>
        <v>668</v>
      </c>
      <c r="E15" s="442">
        <f t="shared" si="1"/>
        <v>668</v>
      </c>
      <c r="F15" s="442">
        <f t="shared" si="2"/>
        <v>668</v>
      </c>
      <c r="G15" s="442">
        <f aca="true" t="shared" si="4" ref="G15:N15">F15</f>
        <v>668</v>
      </c>
      <c r="H15" s="442">
        <f t="shared" si="4"/>
        <v>668</v>
      </c>
      <c r="I15" s="442">
        <f t="shared" si="4"/>
        <v>668</v>
      </c>
      <c r="J15" s="442">
        <f t="shared" si="4"/>
        <v>668</v>
      </c>
      <c r="K15" s="442">
        <f t="shared" si="4"/>
        <v>668</v>
      </c>
      <c r="L15" s="442">
        <f t="shared" si="4"/>
        <v>668</v>
      </c>
      <c r="M15" s="442">
        <f t="shared" si="4"/>
        <v>668</v>
      </c>
      <c r="N15" s="442">
        <f t="shared" si="4"/>
        <v>668</v>
      </c>
    </row>
    <row r="16" spans="2:14" s="133" customFormat="1" ht="12.75" customHeight="1">
      <c r="B16" s="8">
        <v>4</v>
      </c>
      <c r="C16" s="19" t="s">
        <v>476</v>
      </c>
      <c r="D16" s="442">
        <f>'AT-3'!G12</f>
        <v>810</v>
      </c>
      <c r="E16" s="442">
        <f t="shared" si="1"/>
        <v>810</v>
      </c>
      <c r="F16" s="442">
        <f t="shared" si="2"/>
        <v>810</v>
      </c>
      <c r="G16" s="442">
        <f aca="true" t="shared" si="5" ref="G16:N16">F16</f>
        <v>810</v>
      </c>
      <c r="H16" s="442">
        <f t="shared" si="5"/>
        <v>810</v>
      </c>
      <c r="I16" s="442">
        <f t="shared" si="5"/>
        <v>810</v>
      </c>
      <c r="J16" s="442">
        <f t="shared" si="5"/>
        <v>810</v>
      </c>
      <c r="K16" s="442">
        <f t="shared" si="5"/>
        <v>810</v>
      </c>
      <c r="L16" s="442">
        <f t="shared" si="5"/>
        <v>810</v>
      </c>
      <c r="M16" s="442">
        <f t="shared" si="5"/>
        <v>810</v>
      </c>
      <c r="N16" s="442">
        <f t="shared" si="5"/>
        <v>810</v>
      </c>
    </row>
    <row r="17" spans="2:14" s="133" customFormat="1" ht="12.75" customHeight="1">
      <c r="B17" s="8">
        <v>5</v>
      </c>
      <c r="C17" s="19" t="s">
        <v>477</v>
      </c>
      <c r="D17" s="442">
        <f>'AT-3'!G13</f>
        <v>925</v>
      </c>
      <c r="E17" s="442">
        <f t="shared" si="1"/>
        <v>925</v>
      </c>
      <c r="F17" s="442">
        <f t="shared" si="2"/>
        <v>925</v>
      </c>
      <c r="G17" s="442">
        <f aca="true" t="shared" si="6" ref="G17:N17">F17</f>
        <v>925</v>
      </c>
      <c r="H17" s="442">
        <f t="shared" si="6"/>
        <v>925</v>
      </c>
      <c r="I17" s="442">
        <f t="shared" si="6"/>
        <v>925</v>
      </c>
      <c r="J17" s="442">
        <f t="shared" si="6"/>
        <v>925</v>
      </c>
      <c r="K17" s="442">
        <f t="shared" si="6"/>
        <v>925</v>
      </c>
      <c r="L17" s="442">
        <f t="shared" si="6"/>
        <v>925</v>
      </c>
      <c r="M17" s="442">
        <f t="shared" si="6"/>
        <v>925</v>
      </c>
      <c r="N17" s="442">
        <f t="shared" si="6"/>
        <v>925</v>
      </c>
    </row>
    <row r="18" spans="1:14" s="133" customFormat="1" ht="12.75" customHeight="1">
      <c r="A18" s="201" t="s">
        <v>279</v>
      </c>
      <c r="B18" s="8">
        <v>6</v>
      </c>
      <c r="C18" s="19" t="s">
        <v>478</v>
      </c>
      <c r="D18" s="442">
        <f>'AT-3'!G14</f>
        <v>470</v>
      </c>
      <c r="E18" s="442">
        <f t="shared" si="1"/>
        <v>470</v>
      </c>
      <c r="F18" s="442">
        <f t="shared" si="2"/>
        <v>470</v>
      </c>
      <c r="G18" s="442">
        <f aca="true" t="shared" si="7" ref="G18:N18">F18</f>
        <v>470</v>
      </c>
      <c r="H18" s="442">
        <f t="shared" si="7"/>
        <v>470</v>
      </c>
      <c r="I18" s="442">
        <f t="shared" si="7"/>
        <v>470</v>
      </c>
      <c r="J18" s="442">
        <f t="shared" si="7"/>
        <v>470</v>
      </c>
      <c r="K18" s="442">
        <f t="shared" si="7"/>
        <v>470</v>
      </c>
      <c r="L18" s="442">
        <f t="shared" si="7"/>
        <v>470</v>
      </c>
      <c r="M18" s="442">
        <f t="shared" si="7"/>
        <v>470</v>
      </c>
      <c r="N18" s="442">
        <f t="shared" si="7"/>
        <v>470</v>
      </c>
    </row>
    <row r="19" spans="2:14" ht="12.75" customHeight="1">
      <c r="B19" s="8">
        <v>7</v>
      </c>
      <c r="C19" s="19" t="s">
        <v>479</v>
      </c>
      <c r="D19" s="442">
        <f>'AT-3'!G15</f>
        <v>719</v>
      </c>
      <c r="E19" s="442">
        <f t="shared" si="1"/>
        <v>719</v>
      </c>
      <c r="F19" s="442">
        <f t="shared" si="2"/>
        <v>719</v>
      </c>
      <c r="G19" s="442">
        <f aca="true" t="shared" si="8" ref="G19:N19">F19</f>
        <v>719</v>
      </c>
      <c r="H19" s="442">
        <f t="shared" si="8"/>
        <v>719</v>
      </c>
      <c r="I19" s="442">
        <f t="shared" si="8"/>
        <v>719</v>
      </c>
      <c r="J19" s="442">
        <f t="shared" si="8"/>
        <v>719</v>
      </c>
      <c r="K19" s="442">
        <f t="shared" si="8"/>
        <v>719</v>
      </c>
      <c r="L19" s="442">
        <f t="shared" si="8"/>
        <v>719</v>
      </c>
      <c r="M19" s="442">
        <f t="shared" si="8"/>
        <v>719</v>
      </c>
      <c r="N19" s="442">
        <f t="shared" si="8"/>
        <v>719</v>
      </c>
    </row>
    <row r="20" spans="2:14" ht="12.75">
      <c r="B20" s="8">
        <v>8</v>
      </c>
      <c r="C20" s="19" t="s">
        <v>480</v>
      </c>
      <c r="D20" s="442">
        <f>'AT-3'!G16</f>
        <v>1140</v>
      </c>
      <c r="E20" s="442">
        <f t="shared" si="1"/>
        <v>1140</v>
      </c>
      <c r="F20" s="442">
        <f t="shared" si="2"/>
        <v>1140</v>
      </c>
      <c r="G20" s="442">
        <f aca="true" t="shared" si="9" ref="G20:N20">F20</f>
        <v>1140</v>
      </c>
      <c r="H20" s="442">
        <f t="shared" si="9"/>
        <v>1140</v>
      </c>
      <c r="I20" s="442">
        <f t="shared" si="9"/>
        <v>1140</v>
      </c>
      <c r="J20" s="442">
        <f t="shared" si="9"/>
        <v>1140</v>
      </c>
      <c r="K20" s="442">
        <f t="shared" si="9"/>
        <v>1140</v>
      </c>
      <c r="L20" s="442">
        <f t="shared" si="9"/>
        <v>1140</v>
      </c>
      <c r="M20" s="442">
        <f t="shared" si="9"/>
        <v>1140</v>
      </c>
      <c r="N20" s="442">
        <f t="shared" si="9"/>
        <v>1140</v>
      </c>
    </row>
    <row r="21" spans="2:14" ht="12.75">
      <c r="B21" s="3"/>
      <c r="C21" s="27" t="s">
        <v>481</v>
      </c>
      <c r="D21" s="137">
        <f>SUM(D13:D20)</f>
        <v>6524</v>
      </c>
      <c r="E21" s="137">
        <f aca="true" t="shared" si="10" ref="E21:N21">SUM(E13:E20)</f>
        <v>6524</v>
      </c>
      <c r="F21" s="137">
        <f t="shared" si="10"/>
        <v>6524</v>
      </c>
      <c r="G21" s="137">
        <f t="shared" si="10"/>
        <v>6524</v>
      </c>
      <c r="H21" s="137">
        <f t="shared" si="10"/>
        <v>6524</v>
      </c>
      <c r="I21" s="137">
        <f t="shared" si="10"/>
        <v>6524</v>
      </c>
      <c r="J21" s="137">
        <f t="shared" si="10"/>
        <v>6524</v>
      </c>
      <c r="K21" s="137">
        <f t="shared" si="10"/>
        <v>6524</v>
      </c>
      <c r="L21" s="137">
        <f t="shared" si="10"/>
        <v>6524</v>
      </c>
      <c r="M21" s="137">
        <f t="shared" si="10"/>
        <v>6524</v>
      </c>
      <c r="N21" s="137">
        <f t="shared" si="10"/>
        <v>6524</v>
      </c>
    </row>
    <row r="24" spans="7:14" ht="12.75">
      <c r="G24" s="188" t="s">
        <v>11</v>
      </c>
      <c r="I24" s="764"/>
      <c r="J24" s="764"/>
      <c r="K24" s="764"/>
      <c r="L24" s="764"/>
      <c r="M24" s="764"/>
      <c r="N24" s="764"/>
    </row>
    <row r="25" spans="9:14" ht="12.75">
      <c r="I25" s="764" t="s">
        <v>1062</v>
      </c>
      <c r="J25" s="764"/>
      <c r="K25" s="764"/>
      <c r="L25" s="764"/>
      <c r="M25" s="764"/>
      <c r="N25" s="764"/>
    </row>
    <row r="26" spans="9:14" ht="12.75">
      <c r="I26" s="764" t="s">
        <v>484</v>
      </c>
      <c r="J26" s="764"/>
      <c r="K26" s="764"/>
      <c r="L26" s="764"/>
      <c r="M26" s="764"/>
      <c r="N26" s="764"/>
    </row>
    <row r="27" spans="2:12" ht="12.75">
      <c r="B27" s="188" t="s">
        <v>12</v>
      </c>
      <c r="I27" s="962" t="s">
        <v>80</v>
      </c>
      <c r="J27" s="962"/>
      <c r="K27" s="962"/>
      <c r="L27" s="962"/>
    </row>
  </sheetData>
  <sheetProtection/>
  <mergeCells count="15">
    <mergeCell ref="I24:N24"/>
    <mergeCell ref="I25:N25"/>
    <mergeCell ref="I26:N26"/>
    <mergeCell ref="I27:L27"/>
    <mergeCell ref="B10:B11"/>
    <mergeCell ref="C10:C11"/>
    <mergeCell ref="D10:D11"/>
    <mergeCell ref="E10:E11"/>
    <mergeCell ref="F10:N10"/>
    <mergeCell ref="I1:J1"/>
    <mergeCell ref="A2:N2"/>
    <mergeCell ref="A3:N3"/>
    <mergeCell ref="A5:N5"/>
    <mergeCell ref="L9:N9"/>
    <mergeCell ref="M1:N1"/>
  </mergeCells>
  <printOptions horizontalCentered="1"/>
  <pageMargins left="0.7086614173228347" right="0.19" top="1.54" bottom="0" header="1.21" footer="0.31496062992125984"/>
  <pageSetup fitToHeight="1" fitToWidth="1"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4">
      <selection activeCell="O26" sqref="O26"/>
    </sheetView>
  </sheetViews>
  <sheetFormatPr defaultColWidth="9.140625" defaultRowHeight="12.75"/>
  <cols>
    <col min="1" max="1" width="5.00390625" style="0" customWidth="1"/>
    <col min="2" max="2" width="16.28125" style="0" customWidth="1"/>
    <col min="3" max="3" width="13.8515625" style="0" customWidth="1"/>
    <col min="4" max="4" width="15.57421875" style="0" customWidth="1"/>
    <col min="5" max="5" width="9.57421875" style="0" customWidth="1"/>
    <col min="6" max="6" width="10.00390625" style="0" customWidth="1"/>
    <col min="7" max="12" width="9.28125" style="0" customWidth="1"/>
    <col min="13" max="13" width="9.8515625" style="0" customWidth="1"/>
  </cols>
  <sheetData>
    <row r="1" spans="9:13" s="188" customFormat="1" ht="12.75">
      <c r="I1" s="190"/>
      <c r="L1" s="963" t="s">
        <v>725</v>
      </c>
      <c r="M1" s="963"/>
    </row>
    <row r="2" spans="1:13" s="188" customFormat="1" ht="12.75">
      <c r="A2" s="962" t="s">
        <v>726</v>
      </c>
      <c r="B2" s="962"/>
      <c r="C2" s="962"/>
      <c r="D2" s="962"/>
      <c r="E2" s="962"/>
      <c r="F2" s="962"/>
      <c r="G2" s="962"/>
      <c r="H2" s="962"/>
      <c r="I2" s="962"/>
      <c r="J2" s="962"/>
      <c r="K2" s="962"/>
      <c r="L2" s="962"/>
      <c r="M2" s="962"/>
    </row>
    <row r="3" spans="1:13" s="191" customFormat="1" ht="15.75">
      <c r="A3" s="801" t="s">
        <v>878</v>
      </c>
      <c r="B3" s="801"/>
      <c r="C3" s="801"/>
      <c r="D3" s="801"/>
      <c r="E3" s="801"/>
      <c r="F3" s="801"/>
      <c r="G3" s="801"/>
      <c r="H3" s="801"/>
      <c r="I3" s="801"/>
      <c r="J3" s="801"/>
      <c r="K3" s="801"/>
      <c r="L3" s="801"/>
      <c r="M3" s="801"/>
    </row>
    <row r="4" spans="1:13" s="191" customFormat="1" ht="6.75" customHeight="1">
      <c r="A4" s="503"/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</row>
    <row r="5" spans="1:13" s="191" customFormat="1" ht="15.75">
      <c r="A5" s="970" t="s">
        <v>918</v>
      </c>
      <c r="B5" s="970"/>
      <c r="C5" s="970"/>
      <c r="D5" s="970"/>
      <c r="E5" s="970"/>
      <c r="F5" s="970"/>
      <c r="G5" s="970"/>
      <c r="H5" s="970"/>
      <c r="I5" s="970"/>
      <c r="J5" s="970"/>
      <c r="K5" s="970"/>
      <c r="L5" s="970"/>
      <c r="M5" s="970"/>
    </row>
    <row r="6" s="188" customFormat="1" ht="8.25" customHeight="1"/>
    <row r="7" spans="1:10" s="188" customFormat="1" ht="12.75">
      <c r="A7" s="193" t="s">
        <v>472</v>
      </c>
      <c r="B7" s="193"/>
      <c r="C7" s="193"/>
      <c r="D7" s="193"/>
      <c r="E7" s="193"/>
      <c r="F7" s="193"/>
      <c r="G7" s="193"/>
      <c r="H7" s="193"/>
      <c r="I7" s="193"/>
      <c r="J7" s="193"/>
    </row>
    <row r="8" spans="1:10" s="188" customFormat="1" ht="6" customHeight="1">
      <c r="A8" s="193"/>
      <c r="B8" s="193"/>
      <c r="C8" s="193"/>
      <c r="D8" s="193"/>
      <c r="E8" s="193"/>
      <c r="F8" s="193"/>
      <c r="G8" s="193"/>
      <c r="H8" s="193"/>
      <c r="I8" s="193"/>
      <c r="J8" s="193"/>
    </row>
    <row r="9" spans="1:10" s="188" customFormat="1" ht="12.75">
      <c r="A9" s="971" t="s">
        <v>849</v>
      </c>
      <c r="B9" s="971"/>
      <c r="C9" s="971"/>
      <c r="D9" s="971"/>
      <c r="E9" s="971"/>
      <c r="F9" s="971"/>
      <c r="G9" s="157" t="s">
        <v>860</v>
      </c>
      <c r="H9" s="193"/>
      <c r="I9" s="193"/>
      <c r="J9" s="193"/>
    </row>
    <row r="10" spans="1:10" s="188" customFormat="1" ht="12.75">
      <c r="A10" s="971" t="s">
        <v>850</v>
      </c>
      <c r="B10" s="971"/>
      <c r="C10" s="971"/>
      <c r="D10" s="971"/>
      <c r="E10" s="971"/>
      <c r="F10" s="971"/>
      <c r="G10" s="157" t="s">
        <v>876</v>
      </c>
      <c r="H10" s="193"/>
      <c r="I10" s="193"/>
      <c r="J10" s="193"/>
    </row>
    <row r="11" spans="1:10" s="188" customFormat="1" ht="12.75">
      <c r="A11" s="356"/>
      <c r="B11" s="356"/>
      <c r="C11" s="356"/>
      <c r="D11" s="356"/>
      <c r="E11" s="356"/>
      <c r="F11" s="356"/>
      <c r="G11" s="193"/>
      <c r="H11" s="193"/>
      <c r="I11" s="193"/>
      <c r="J11" s="193"/>
    </row>
    <row r="12" spans="1:13" s="194" customFormat="1" ht="15" customHeight="1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776" t="s">
        <v>931</v>
      </c>
      <c r="L12" s="776"/>
      <c r="M12" s="776"/>
    </row>
    <row r="13" spans="1:13" s="194" customFormat="1" ht="20.25" customHeight="1">
      <c r="A13" s="870" t="s">
        <v>486</v>
      </c>
      <c r="B13" s="870" t="s">
        <v>3</v>
      </c>
      <c r="C13" s="874" t="s">
        <v>269</v>
      </c>
      <c r="D13" s="874" t="s">
        <v>727</v>
      </c>
      <c r="E13" s="967" t="s">
        <v>800</v>
      </c>
      <c r="F13" s="968"/>
      <c r="G13" s="968"/>
      <c r="H13" s="968"/>
      <c r="I13" s="968"/>
      <c r="J13" s="968"/>
      <c r="K13" s="968"/>
      <c r="L13" s="968"/>
      <c r="M13" s="969"/>
    </row>
    <row r="14" spans="1:13" s="194" customFormat="1" ht="41.25" customHeight="1">
      <c r="A14" s="871"/>
      <c r="B14" s="871"/>
      <c r="C14" s="875"/>
      <c r="D14" s="875"/>
      <c r="E14" s="355" t="s">
        <v>940</v>
      </c>
      <c r="F14" s="355" t="s">
        <v>272</v>
      </c>
      <c r="G14" s="355" t="s">
        <v>273</v>
      </c>
      <c r="H14" s="355" t="s">
        <v>274</v>
      </c>
      <c r="I14" s="355" t="s">
        <v>275</v>
      </c>
      <c r="J14" s="355" t="s">
        <v>276</v>
      </c>
      <c r="K14" s="355" t="s">
        <v>277</v>
      </c>
      <c r="L14" s="355" t="s">
        <v>278</v>
      </c>
      <c r="M14" s="355" t="s">
        <v>941</v>
      </c>
    </row>
    <row r="15" spans="1:13" s="194" customFormat="1" ht="12.75" customHeight="1">
      <c r="A15" s="197">
        <v>1</v>
      </c>
      <c r="B15" s="197">
        <v>2</v>
      </c>
      <c r="C15" s="197">
        <v>3</v>
      </c>
      <c r="D15" s="197">
        <v>4</v>
      </c>
      <c r="E15" s="197">
        <v>5</v>
      </c>
      <c r="F15" s="197">
        <v>6</v>
      </c>
      <c r="G15" s="197">
        <v>7</v>
      </c>
      <c r="H15" s="197">
        <v>8</v>
      </c>
      <c r="I15" s="197">
        <v>12</v>
      </c>
      <c r="J15" s="197">
        <v>13</v>
      </c>
      <c r="K15" s="197">
        <v>14</v>
      </c>
      <c r="L15" s="197">
        <v>15</v>
      </c>
      <c r="M15" s="197">
        <v>16</v>
      </c>
    </row>
    <row r="16" spans="1:13" s="188" customFormat="1" ht="16.5" customHeight="1">
      <c r="A16" s="8">
        <v>1</v>
      </c>
      <c r="B16" s="19" t="s">
        <v>473</v>
      </c>
      <c r="C16" s="442">
        <f>'AT-23'!D13</f>
        <v>917</v>
      </c>
      <c r="D16" s="442">
        <f>C16</f>
        <v>917</v>
      </c>
      <c r="E16" s="442">
        <v>684</v>
      </c>
      <c r="F16" s="442">
        <v>697</v>
      </c>
      <c r="G16" s="442">
        <v>796</v>
      </c>
      <c r="H16" s="442">
        <v>935</v>
      </c>
      <c r="I16" s="135">
        <v>914</v>
      </c>
      <c r="J16" s="135">
        <v>769</v>
      </c>
      <c r="K16" s="135">
        <v>754</v>
      </c>
      <c r="L16" s="135">
        <v>735</v>
      </c>
      <c r="M16" s="135">
        <v>659</v>
      </c>
    </row>
    <row r="17" spans="1:13" s="188" customFormat="1" ht="16.5" customHeight="1">
      <c r="A17" s="8">
        <v>2</v>
      </c>
      <c r="B17" s="19" t="s">
        <v>474</v>
      </c>
      <c r="C17" s="442">
        <f>'AT-23'!D14</f>
        <v>875</v>
      </c>
      <c r="D17" s="442">
        <f aca="true" t="shared" si="0" ref="D17:D23">C17</f>
        <v>875</v>
      </c>
      <c r="E17" s="442">
        <v>584</v>
      </c>
      <c r="F17" s="442">
        <v>490</v>
      </c>
      <c r="G17" s="442">
        <v>583</v>
      </c>
      <c r="H17" s="442">
        <v>590</v>
      </c>
      <c r="I17" s="135">
        <v>590</v>
      </c>
      <c r="J17" s="135">
        <v>590</v>
      </c>
      <c r="K17" s="135">
        <v>532</v>
      </c>
      <c r="L17" s="135">
        <v>544</v>
      </c>
      <c r="M17" s="135">
        <v>504</v>
      </c>
    </row>
    <row r="18" spans="1:13" s="188" customFormat="1" ht="16.5" customHeight="1">
      <c r="A18" s="8">
        <v>3</v>
      </c>
      <c r="B18" s="19" t="s">
        <v>475</v>
      </c>
      <c r="C18" s="442">
        <f>'AT-23'!D15</f>
        <v>668</v>
      </c>
      <c r="D18" s="442">
        <f t="shared" si="0"/>
        <v>668</v>
      </c>
      <c r="E18" s="442">
        <v>566</v>
      </c>
      <c r="F18" s="442">
        <v>518</v>
      </c>
      <c r="G18" s="442">
        <v>558</v>
      </c>
      <c r="H18" s="442">
        <v>644</v>
      </c>
      <c r="I18" s="135">
        <v>654</v>
      </c>
      <c r="J18" s="135">
        <v>576</v>
      </c>
      <c r="K18" s="135">
        <v>521</v>
      </c>
      <c r="L18" s="135">
        <v>560</v>
      </c>
      <c r="M18" s="135">
        <v>503</v>
      </c>
    </row>
    <row r="19" spans="1:13" s="133" customFormat="1" ht="16.5" customHeight="1">
      <c r="A19" s="8">
        <v>4</v>
      </c>
      <c r="B19" s="19" t="s">
        <v>476</v>
      </c>
      <c r="C19" s="442">
        <f>'AT-23'!D16</f>
        <v>810</v>
      </c>
      <c r="D19" s="442">
        <f t="shared" si="0"/>
        <v>810</v>
      </c>
      <c r="E19" s="442">
        <v>632</v>
      </c>
      <c r="F19" s="442">
        <v>587</v>
      </c>
      <c r="G19" s="442">
        <v>690</v>
      </c>
      <c r="H19" s="442">
        <v>714</v>
      </c>
      <c r="I19" s="135">
        <v>692</v>
      </c>
      <c r="J19" s="135">
        <v>682</v>
      </c>
      <c r="K19" s="135">
        <v>655</v>
      </c>
      <c r="L19" s="135">
        <v>682</v>
      </c>
      <c r="M19" s="135">
        <v>622</v>
      </c>
    </row>
    <row r="20" spans="1:13" s="133" customFormat="1" ht="16.5" customHeight="1">
      <c r="A20" s="8">
        <v>5</v>
      </c>
      <c r="B20" s="19" t="s">
        <v>477</v>
      </c>
      <c r="C20" s="442">
        <f>'AT-23'!D17</f>
        <v>925</v>
      </c>
      <c r="D20" s="442">
        <f t="shared" si="0"/>
        <v>925</v>
      </c>
      <c r="E20" s="442">
        <v>723</v>
      </c>
      <c r="F20" s="442">
        <v>770</v>
      </c>
      <c r="G20" s="442">
        <v>814</v>
      </c>
      <c r="H20" s="442">
        <v>890</v>
      </c>
      <c r="I20" s="135">
        <v>933</v>
      </c>
      <c r="J20" s="135">
        <v>804</v>
      </c>
      <c r="K20" s="135">
        <v>666</v>
      </c>
      <c r="L20" s="135">
        <v>755</v>
      </c>
      <c r="M20" s="135">
        <v>715</v>
      </c>
    </row>
    <row r="21" spans="1:13" s="133" customFormat="1" ht="16.5" customHeight="1">
      <c r="A21" s="8">
        <v>6</v>
      </c>
      <c r="B21" s="19" t="s">
        <v>478</v>
      </c>
      <c r="C21" s="442">
        <f>'AT-23'!D18</f>
        <v>470</v>
      </c>
      <c r="D21" s="442">
        <f t="shared" si="0"/>
        <v>470</v>
      </c>
      <c r="E21" s="442">
        <v>428</v>
      </c>
      <c r="F21" s="442">
        <v>357</v>
      </c>
      <c r="G21" s="442">
        <v>398</v>
      </c>
      <c r="H21" s="442">
        <v>390</v>
      </c>
      <c r="I21" s="135">
        <v>390</v>
      </c>
      <c r="J21" s="135">
        <v>390</v>
      </c>
      <c r="K21" s="135">
        <v>371</v>
      </c>
      <c r="L21" s="135">
        <v>370</v>
      </c>
      <c r="M21" s="135">
        <v>342</v>
      </c>
    </row>
    <row r="22" spans="1:13" s="188" customFormat="1" ht="16.5" customHeight="1">
      <c r="A22" s="8">
        <v>7</v>
      </c>
      <c r="B22" s="19" t="s">
        <v>479</v>
      </c>
      <c r="C22" s="442">
        <f>'AT-23'!D19</f>
        <v>719</v>
      </c>
      <c r="D22" s="442">
        <f t="shared" si="0"/>
        <v>719</v>
      </c>
      <c r="E22" s="442">
        <v>582</v>
      </c>
      <c r="F22" s="442">
        <v>477</v>
      </c>
      <c r="G22" s="442">
        <v>501</v>
      </c>
      <c r="H22" s="442">
        <v>545</v>
      </c>
      <c r="I22" s="135">
        <v>630</v>
      </c>
      <c r="J22" s="135">
        <v>490</v>
      </c>
      <c r="K22" s="135">
        <v>451</v>
      </c>
      <c r="L22" s="135">
        <v>465</v>
      </c>
      <c r="M22" s="135">
        <v>387</v>
      </c>
    </row>
    <row r="23" spans="1:13" s="188" customFormat="1" ht="16.5" customHeight="1">
      <c r="A23" s="8">
        <v>8</v>
      </c>
      <c r="B23" s="19" t="s">
        <v>480</v>
      </c>
      <c r="C23" s="442">
        <f>'AT-23'!D20</f>
        <v>1140</v>
      </c>
      <c r="D23" s="442">
        <f t="shared" si="0"/>
        <v>1140</v>
      </c>
      <c r="E23" s="442">
        <v>842</v>
      </c>
      <c r="F23" s="442">
        <v>783</v>
      </c>
      <c r="G23" s="442">
        <v>949</v>
      </c>
      <c r="H23" s="442">
        <v>915</v>
      </c>
      <c r="I23" s="135">
        <v>894</v>
      </c>
      <c r="J23" s="135">
        <v>923</v>
      </c>
      <c r="K23" s="135">
        <v>813</v>
      </c>
      <c r="L23" s="135">
        <v>842</v>
      </c>
      <c r="M23" s="135">
        <v>710</v>
      </c>
    </row>
    <row r="24" spans="1:14" s="188" customFormat="1" ht="16.5" customHeight="1">
      <c r="A24" s="3"/>
      <c r="B24" s="27" t="s">
        <v>481</v>
      </c>
      <c r="C24" s="137">
        <f>SUM(C16:C23)</f>
        <v>6524</v>
      </c>
      <c r="D24" s="137">
        <f aca="true" t="shared" si="1" ref="D24:M24">SUM(D16:D23)</f>
        <v>6524</v>
      </c>
      <c r="E24" s="137">
        <f t="shared" si="1"/>
        <v>5041</v>
      </c>
      <c r="F24" s="137">
        <f t="shared" si="1"/>
        <v>4679</v>
      </c>
      <c r="G24" s="137">
        <f t="shared" si="1"/>
        <v>5289</v>
      </c>
      <c r="H24" s="137">
        <f t="shared" si="1"/>
        <v>5623</v>
      </c>
      <c r="I24" s="137">
        <f t="shared" si="1"/>
        <v>5697</v>
      </c>
      <c r="J24" s="137">
        <f t="shared" si="1"/>
        <v>5224</v>
      </c>
      <c r="K24" s="137">
        <f t="shared" si="1"/>
        <v>4763</v>
      </c>
      <c r="L24" s="137">
        <f t="shared" si="1"/>
        <v>4953</v>
      </c>
      <c r="M24" s="137">
        <f t="shared" si="1"/>
        <v>4442</v>
      </c>
      <c r="N24" s="188">
        <f>AVERAGE(E24:M24)</f>
        <v>5079</v>
      </c>
    </row>
    <row r="25" spans="13:15" s="188" customFormat="1" ht="12.75">
      <c r="M25" s="188" t="s">
        <v>11</v>
      </c>
      <c r="O25" s="188">
        <f>N24-C24</f>
        <v>-1445</v>
      </c>
    </row>
    <row r="26" s="188" customFormat="1" ht="12.75">
      <c r="N26" s="188">
        <f>N24/C24</f>
        <v>0.7785101164929491</v>
      </c>
    </row>
    <row r="27" s="188" customFormat="1" ht="12.75"/>
    <row r="28" spans="7:14" s="188" customFormat="1" ht="12.75">
      <c r="G28" s="188" t="s">
        <v>11</v>
      </c>
      <c r="I28" s="764"/>
      <c r="J28" s="764"/>
      <c r="K28" s="764"/>
      <c r="L28" s="764"/>
      <c r="M28" s="764"/>
      <c r="N28" s="764"/>
    </row>
    <row r="29" spans="9:14" s="188" customFormat="1" ht="12.75" customHeight="1">
      <c r="I29" s="764" t="s">
        <v>1062</v>
      </c>
      <c r="J29" s="764"/>
      <c r="K29" s="764"/>
      <c r="L29" s="764"/>
      <c r="M29" s="764"/>
      <c r="N29" s="201"/>
    </row>
    <row r="30" spans="9:14" s="188" customFormat="1" ht="12.75" customHeight="1">
      <c r="I30" s="764" t="s">
        <v>484</v>
      </c>
      <c r="J30" s="764"/>
      <c r="K30" s="764"/>
      <c r="L30" s="764"/>
      <c r="M30" s="764"/>
      <c r="N30" s="201"/>
    </row>
    <row r="31" spans="2:12" s="188" customFormat="1" ht="12.75">
      <c r="B31" s="188" t="s">
        <v>12</v>
      </c>
      <c r="I31" s="192" t="s">
        <v>80</v>
      </c>
      <c r="J31" s="192"/>
      <c r="K31" s="192"/>
      <c r="L31" s="192"/>
    </row>
  </sheetData>
  <sheetProtection/>
  <mergeCells count="15">
    <mergeCell ref="L1:M1"/>
    <mergeCell ref="A3:M3"/>
    <mergeCell ref="A5:M5"/>
    <mergeCell ref="K12:M12"/>
    <mergeCell ref="A9:F9"/>
    <mergeCell ref="A10:F10"/>
    <mergeCell ref="A2:M2"/>
    <mergeCell ref="D13:D14"/>
    <mergeCell ref="E13:M13"/>
    <mergeCell ref="I28:N28"/>
    <mergeCell ref="I29:M29"/>
    <mergeCell ref="I30:M30"/>
    <mergeCell ref="A13:A14"/>
    <mergeCell ref="B13:B14"/>
    <mergeCell ref="C13:C14"/>
  </mergeCells>
  <printOptions/>
  <pageMargins left="0.61" right="0.2" top="0.75" bottom="0.75" header="0.3" footer="0.3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view="pageBreakPreview" zoomScale="90" zoomScaleSheetLayoutView="90" zoomScalePageLayoutView="0" workbookViewId="0" topLeftCell="A1">
      <selection activeCell="G16" sqref="G16:I19"/>
    </sheetView>
  </sheetViews>
  <sheetFormatPr defaultColWidth="9.140625" defaultRowHeight="12.75"/>
  <cols>
    <col min="1" max="1" width="5.57421875" style="0" customWidth="1"/>
    <col min="2" max="2" width="13.28125" style="0" customWidth="1"/>
    <col min="4" max="4" width="8.421875" style="0" customWidth="1"/>
    <col min="5" max="6" width="12.8515625" style="0" customWidth="1"/>
    <col min="7" max="7" width="15.28125" style="0" customWidth="1"/>
    <col min="8" max="8" width="17.00390625" style="0" customWidth="1"/>
    <col min="9" max="9" width="18.00390625" style="0" customWidth="1"/>
    <col min="10" max="10" width="11.140625" style="0" customWidth="1"/>
    <col min="11" max="11" width="12.7109375" style="0" customWidth="1"/>
    <col min="12" max="12" width="11.421875" style="0" customWidth="1"/>
    <col min="13" max="13" width="15.421875" style="0" customWidth="1"/>
  </cols>
  <sheetData>
    <row r="1" spans="12:18" ht="18">
      <c r="L1" s="972" t="s">
        <v>728</v>
      </c>
      <c r="M1" s="972"/>
      <c r="N1" s="208"/>
      <c r="O1" s="208"/>
      <c r="P1" s="208"/>
      <c r="Q1" s="208"/>
      <c r="R1" s="208"/>
    </row>
    <row r="2" spans="1:16" ht="18">
      <c r="A2" s="760" t="s">
        <v>0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208"/>
      <c r="O2" s="208"/>
      <c r="P2" s="208"/>
    </row>
    <row r="3" spans="1:16" ht="21">
      <c r="A3" s="761" t="s">
        <v>878</v>
      </c>
      <c r="B3" s="761"/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209"/>
      <c r="O3" s="209"/>
      <c r="P3" s="209"/>
    </row>
    <row r="4" spans="3:16" ht="12.75" customHeight="1"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209"/>
      <c r="O4" s="209"/>
      <c r="P4" s="209"/>
    </row>
    <row r="5" spans="1:13" ht="20.25" customHeight="1">
      <c r="A5" s="983" t="s">
        <v>729</v>
      </c>
      <c r="B5" s="983"/>
      <c r="C5" s="983"/>
      <c r="D5" s="983"/>
      <c r="E5" s="983"/>
      <c r="F5" s="983"/>
      <c r="G5" s="983"/>
      <c r="H5" s="983"/>
      <c r="I5" s="983"/>
      <c r="J5" s="983"/>
      <c r="K5" s="983"/>
      <c r="L5" s="983"/>
      <c r="M5" s="983"/>
    </row>
    <row r="6" spans="1:13" ht="12.75" customHeight="1">
      <c r="A6" s="336"/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</row>
    <row r="7" spans="2:10" s="188" customFormat="1" ht="12.75">
      <c r="B7" s="193" t="s">
        <v>472</v>
      </c>
      <c r="C7" s="193"/>
      <c r="D7" s="193"/>
      <c r="E7" s="193"/>
      <c r="F7" s="193"/>
      <c r="G7" s="193"/>
      <c r="H7" s="193"/>
      <c r="I7" s="193"/>
      <c r="J7" s="193"/>
    </row>
    <row r="8" spans="2:13" s="188" customFormat="1" ht="12.75">
      <c r="B8" s="193"/>
      <c r="C8" s="193"/>
      <c r="D8" s="193"/>
      <c r="E8" s="193"/>
      <c r="F8" s="193"/>
      <c r="G8" s="193"/>
      <c r="H8" s="193"/>
      <c r="I8" s="193"/>
      <c r="J8" s="193"/>
      <c r="K8" s="991" t="s">
        <v>931</v>
      </c>
      <c r="L8" s="991"/>
      <c r="M8" s="991"/>
    </row>
    <row r="9" spans="1:13" s="260" customFormat="1" ht="15" customHeight="1">
      <c r="A9" s="853" t="s">
        <v>70</v>
      </c>
      <c r="B9" s="853" t="s">
        <v>290</v>
      </c>
      <c r="C9" s="984" t="s">
        <v>420</v>
      </c>
      <c r="D9" s="985"/>
      <c r="E9" s="985"/>
      <c r="F9" s="985"/>
      <c r="G9" s="986"/>
      <c r="H9" s="982" t="s">
        <v>417</v>
      </c>
      <c r="I9" s="982"/>
      <c r="J9" s="982"/>
      <c r="K9" s="982"/>
      <c r="L9" s="982"/>
      <c r="M9" s="853" t="s">
        <v>291</v>
      </c>
    </row>
    <row r="10" spans="1:13" s="260" customFormat="1" ht="12.75" customHeight="1">
      <c r="A10" s="854"/>
      <c r="B10" s="854"/>
      <c r="C10" s="987"/>
      <c r="D10" s="988"/>
      <c r="E10" s="988"/>
      <c r="F10" s="988"/>
      <c r="G10" s="989"/>
      <c r="H10" s="982"/>
      <c r="I10" s="982"/>
      <c r="J10" s="982"/>
      <c r="K10" s="982"/>
      <c r="L10" s="982"/>
      <c r="M10" s="854"/>
    </row>
    <row r="11" spans="1:13" s="260" customFormat="1" ht="5.25" customHeight="1">
      <c r="A11" s="854"/>
      <c r="B11" s="854"/>
      <c r="C11" s="987"/>
      <c r="D11" s="988"/>
      <c r="E11" s="988"/>
      <c r="F11" s="988"/>
      <c r="G11" s="989"/>
      <c r="H11" s="982"/>
      <c r="I11" s="982"/>
      <c r="J11" s="982"/>
      <c r="K11" s="982"/>
      <c r="L11" s="982"/>
      <c r="M11" s="854"/>
    </row>
    <row r="12" spans="1:13" s="260" customFormat="1" ht="54" customHeight="1">
      <c r="A12" s="855"/>
      <c r="B12" s="855"/>
      <c r="C12" s="359" t="s">
        <v>292</v>
      </c>
      <c r="D12" s="359" t="s">
        <v>293</v>
      </c>
      <c r="E12" s="359" t="s">
        <v>294</v>
      </c>
      <c r="F12" s="359" t="s">
        <v>295</v>
      </c>
      <c r="G12" s="360" t="s">
        <v>296</v>
      </c>
      <c r="H12" s="361" t="s">
        <v>416</v>
      </c>
      <c r="I12" s="361" t="s">
        <v>421</v>
      </c>
      <c r="J12" s="361" t="s">
        <v>418</v>
      </c>
      <c r="K12" s="361" t="s">
        <v>419</v>
      </c>
      <c r="L12" s="361" t="s">
        <v>44</v>
      </c>
      <c r="M12" s="855"/>
    </row>
    <row r="13" spans="1:13" ht="15">
      <c r="A13" s="212">
        <v>1</v>
      </c>
      <c r="B13" s="212">
        <v>2</v>
      </c>
      <c r="C13" s="212">
        <v>3</v>
      </c>
      <c r="D13" s="212">
        <v>4</v>
      </c>
      <c r="E13" s="212">
        <v>5</v>
      </c>
      <c r="F13" s="212">
        <v>6</v>
      </c>
      <c r="G13" s="212">
        <v>7</v>
      </c>
      <c r="H13" s="212">
        <v>8</v>
      </c>
      <c r="I13" s="212">
        <v>9</v>
      </c>
      <c r="J13" s="212">
        <v>10</v>
      </c>
      <c r="K13" s="212">
        <v>11</v>
      </c>
      <c r="L13" s="212">
        <v>12</v>
      </c>
      <c r="M13" s="212">
        <v>13</v>
      </c>
    </row>
    <row r="14" spans="1:13" ht="12.75">
      <c r="A14" s="8">
        <v>1</v>
      </c>
      <c r="B14" s="19" t="s">
        <v>473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</row>
    <row r="15" spans="1:13" ht="12.75">
      <c r="A15" s="8">
        <v>2</v>
      </c>
      <c r="B15" s="19" t="s">
        <v>474</v>
      </c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</row>
    <row r="16" spans="1:13" ht="12.75">
      <c r="A16" s="8">
        <v>3</v>
      </c>
      <c r="B16" s="19" t="s">
        <v>475</v>
      </c>
      <c r="C16" s="214"/>
      <c r="D16" s="214"/>
      <c r="E16" s="214"/>
      <c r="F16" s="214"/>
      <c r="G16" s="973" t="s">
        <v>509</v>
      </c>
      <c r="H16" s="974"/>
      <c r="I16" s="975"/>
      <c r="J16" s="214"/>
      <c r="K16" s="214"/>
      <c r="L16" s="214"/>
      <c r="M16" s="214"/>
    </row>
    <row r="17" spans="1:13" ht="12.75">
      <c r="A17" s="8">
        <v>4</v>
      </c>
      <c r="B17" s="19" t="s">
        <v>476</v>
      </c>
      <c r="C17" s="214"/>
      <c r="D17" s="214"/>
      <c r="E17" s="214"/>
      <c r="F17" s="214"/>
      <c r="G17" s="976"/>
      <c r="H17" s="977"/>
      <c r="I17" s="978"/>
      <c r="J17" s="214"/>
      <c r="K17" s="214"/>
      <c r="L17" s="214"/>
      <c r="M17" s="214"/>
    </row>
    <row r="18" spans="1:13" ht="12.75">
      <c r="A18" s="8">
        <v>5</v>
      </c>
      <c r="B18" s="19" t="s">
        <v>477</v>
      </c>
      <c r="C18" s="9"/>
      <c r="D18" s="9"/>
      <c r="E18" s="9"/>
      <c r="F18" s="9"/>
      <c r="G18" s="976"/>
      <c r="H18" s="977"/>
      <c r="I18" s="978"/>
      <c r="J18" s="9"/>
      <c r="K18" s="9"/>
      <c r="L18" s="9"/>
      <c r="M18" s="9"/>
    </row>
    <row r="19" spans="1:13" ht="12.75">
      <c r="A19" s="8">
        <v>6</v>
      </c>
      <c r="B19" s="19" t="s">
        <v>478</v>
      </c>
      <c r="C19" s="9"/>
      <c r="D19" s="9"/>
      <c r="E19" s="9"/>
      <c r="F19" s="9"/>
      <c r="G19" s="979"/>
      <c r="H19" s="980"/>
      <c r="I19" s="981"/>
      <c r="J19" s="9"/>
      <c r="K19" s="9"/>
      <c r="L19" s="9"/>
      <c r="M19" s="9"/>
    </row>
    <row r="20" spans="1:13" ht="12.75">
      <c r="A20" s="8">
        <v>7</v>
      </c>
      <c r="B20" s="19" t="s">
        <v>479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2.75">
      <c r="A21" s="8">
        <v>8</v>
      </c>
      <c r="B21" s="19" t="s">
        <v>480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.75">
      <c r="A22" s="3"/>
      <c r="B22" s="27" t="s">
        <v>481</v>
      </c>
      <c r="C22" s="9"/>
      <c r="D22" s="9"/>
      <c r="E22" s="9"/>
      <c r="F22" s="9"/>
      <c r="G22" s="9"/>
      <c r="H22" s="268"/>
      <c r="I22" s="9"/>
      <c r="J22" s="9"/>
      <c r="K22" s="9"/>
      <c r="L22" s="9"/>
      <c r="M22" s="9"/>
    </row>
    <row r="23" spans="2:6" ht="12" customHeight="1">
      <c r="B23" s="215"/>
      <c r="C23" s="990"/>
      <c r="D23" s="990"/>
      <c r="E23" s="990"/>
      <c r="F23" s="990"/>
    </row>
    <row r="26" spans="1:13" ht="12.75">
      <c r="A26" s="188"/>
      <c r="B26" s="188"/>
      <c r="C26" s="188"/>
      <c r="D26" s="188"/>
      <c r="H26" s="201"/>
      <c r="I26" s="189"/>
      <c r="J26" s="764"/>
      <c r="K26" s="764"/>
      <c r="L26" s="764"/>
      <c r="M26" s="764"/>
    </row>
    <row r="27" spans="1:13" ht="15" customHeight="1">
      <c r="A27" s="188" t="s">
        <v>12</v>
      </c>
      <c r="B27" s="188"/>
      <c r="C27" s="188"/>
      <c r="D27" s="188"/>
      <c r="H27" s="201"/>
      <c r="I27" s="201"/>
      <c r="J27" s="764" t="s">
        <v>1062</v>
      </c>
      <c r="K27" s="764"/>
      <c r="L27" s="764"/>
      <c r="M27" s="764"/>
    </row>
    <row r="28" spans="1:13" ht="12.75">
      <c r="A28" s="188"/>
      <c r="B28" s="188"/>
      <c r="C28" s="188"/>
      <c r="D28" s="188"/>
      <c r="H28" s="201"/>
      <c r="I28" s="201"/>
      <c r="J28" s="764" t="s">
        <v>484</v>
      </c>
      <c r="K28" s="764"/>
      <c r="L28" s="764"/>
      <c r="M28" s="764"/>
    </row>
    <row r="29" spans="3:12" ht="12.75">
      <c r="C29" s="188"/>
      <c r="D29" s="188"/>
      <c r="H29" s="192"/>
      <c r="I29" s="190"/>
      <c r="J29" s="192" t="s">
        <v>545</v>
      </c>
      <c r="K29" s="190"/>
      <c r="L29" s="190"/>
    </row>
  </sheetData>
  <sheetProtection/>
  <mergeCells count="15">
    <mergeCell ref="A9:A12"/>
    <mergeCell ref="B9:B12"/>
    <mergeCell ref="C9:G11"/>
    <mergeCell ref="C23:F23"/>
    <mergeCell ref="K8:M8"/>
    <mergeCell ref="A2:M2"/>
    <mergeCell ref="A3:M3"/>
    <mergeCell ref="J26:M26"/>
    <mergeCell ref="L1:M1"/>
    <mergeCell ref="J27:M27"/>
    <mergeCell ref="J28:M28"/>
    <mergeCell ref="G16:I19"/>
    <mergeCell ref="H9:L11"/>
    <mergeCell ref="A5:M5"/>
    <mergeCell ref="M9:M12"/>
  </mergeCells>
  <printOptions horizontalCentered="1"/>
  <pageMargins left="0.7086614173228347" right="0.31" top="1.03" bottom="0" header="0.31496062992125984" footer="0.31496062992125984"/>
  <pageSetup fitToHeight="1" fitToWidth="1" horizontalDpi="600" verticalDpi="600" orientation="landscape" paperSize="9" scale="85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view="pageBreakPreview" zoomScale="80" zoomScaleSheetLayoutView="80" zoomScalePageLayoutView="0" workbookViewId="0" topLeftCell="A1">
      <selection activeCell="E60" sqref="E60:F60"/>
    </sheetView>
  </sheetViews>
  <sheetFormatPr defaultColWidth="9.140625" defaultRowHeight="12.75"/>
  <cols>
    <col min="1" max="1" width="44.28125" style="0" customWidth="1"/>
    <col min="2" max="2" width="25.7109375" style="0" customWidth="1"/>
    <col min="3" max="3" width="18.28125" style="0" customWidth="1"/>
    <col min="4" max="4" width="22.57421875" style="0" customWidth="1"/>
    <col min="5" max="5" width="31.28125" style="0" customWidth="1"/>
    <col min="6" max="6" width="58.140625" style="0" customWidth="1"/>
    <col min="7" max="7" width="4.140625" style="0" customWidth="1"/>
  </cols>
  <sheetData>
    <row r="1" spans="6:7" ht="15.75">
      <c r="F1" s="995" t="s">
        <v>730</v>
      </c>
      <c r="G1" s="995"/>
    </row>
    <row r="2" spans="1:12" ht="18">
      <c r="A2" s="760" t="s">
        <v>0</v>
      </c>
      <c r="B2" s="760"/>
      <c r="C2" s="760"/>
      <c r="D2" s="760"/>
      <c r="E2" s="760"/>
      <c r="F2" s="760"/>
      <c r="G2" s="760"/>
      <c r="H2" s="208"/>
      <c r="I2" s="208"/>
      <c r="J2" s="208"/>
      <c r="K2" s="208"/>
      <c r="L2" s="208"/>
    </row>
    <row r="3" spans="1:12" ht="21">
      <c r="A3" s="761" t="s">
        <v>878</v>
      </c>
      <c r="B3" s="761"/>
      <c r="C3" s="761"/>
      <c r="D3" s="761"/>
      <c r="E3" s="761"/>
      <c r="F3" s="761"/>
      <c r="G3" s="761"/>
      <c r="H3" s="209"/>
      <c r="I3" s="209"/>
      <c r="J3" s="209"/>
      <c r="K3" s="209"/>
      <c r="L3" s="209"/>
    </row>
    <row r="4" spans="1:6" ht="12.75">
      <c r="A4" s="151"/>
      <c r="B4" s="151"/>
      <c r="C4" s="151"/>
      <c r="D4" s="151"/>
      <c r="E4" s="151"/>
      <c r="F4" s="151"/>
    </row>
    <row r="5" spans="1:7" ht="18.75">
      <c r="A5" s="996" t="s">
        <v>731</v>
      </c>
      <c r="B5" s="996"/>
      <c r="C5" s="996"/>
      <c r="D5" s="996"/>
      <c r="E5" s="996"/>
      <c r="F5" s="996"/>
      <c r="G5" s="996"/>
    </row>
    <row r="6" spans="1:11" s="333" customFormat="1" ht="12.75">
      <c r="A6" s="356" t="s">
        <v>472</v>
      </c>
      <c r="C6" s="356"/>
      <c r="D6" s="356"/>
      <c r="E6" s="356"/>
      <c r="F6" s="356"/>
      <c r="G6" s="356"/>
      <c r="H6" s="356"/>
      <c r="I6" s="356"/>
      <c r="J6" s="356"/>
      <c r="K6" s="356"/>
    </row>
    <row r="7" spans="1:11" s="333" customFormat="1" ht="6" customHeight="1">
      <c r="A7" s="356"/>
      <c r="C7" s="356"/>
      <c r="D7" s="356"/>
      <c r="E7" s="356"/>
      <c r="F7" s="356"/>
      <c r="G7" s="356"/>
      <c r="H7" s="356"/>
      <c r="I7" s="356"/>
      <c r="J7" s="356"/>
      <c r="K7" s="356"/>
    </row>
    <row r="8" spans="1:6" ht="31.5">
      <c r="A8" s="438"/>
      <c r="B8" s="439" t="s">
        <v>319</v>
      </c>
      <c r="C8" s="439" t="s">
        <v>320</v>
      </c>
      <c r="D8" s="439" t="s">
        <v>321</v>
      </c>
      <c r="E8" s="217"/>
      <c r="F8" s="217"/>
    </row>
    <row r="9" spans="1:6" ht="15">
      <c r="A9" s="218" t="s">
        <v>322</v>
      </c>
      <c r="B9" s="218" t="s">
        <v>529</v>
      </c>
      <c r="C9" s="218" t="s">
        <v>529</v>
      </c>
      <c r="D9" s="218" t="s">
        <v>529</v>
      </c>
      <c r="E9" s="217"/>
      <c r="F9" s="217"/>
    </row>
    <row r="10" spans="1:6" ht="13.5" customHeight="1">
      <c r="A10" s="218" t="s">
        <v>323</v>
      </c>
      <c r="B10" s="218" t="s">
        <v>529</v>
      </c>
      <c r="C10" s="218" t="s">
        <v>529</v>
      </c>
      <c r="D10" s="218" t="s">
        <v>529</v>
      </c>
      <c r="E10" s="217"/>
      <c r="F10" s="217"/>
    </row>
    <row r="11" spans="1:6" ht="13.5" customHeight="1">
      <c r="A11" s="218" t="s">
        <v>324</v>
      </c>
      <c r="B11" s="218"/>
      <c r="C11" s="218"/>
      <c r="D11" s="218"/>
      <c r="E11" s="217"/>
      <c r="F11" s="217"/>
    </row>
    <row r="12" spans="1:6" ht="21" customHeight="1">
      <c r="A12" s="219" t="s">
        <v>325</v>
      </c>
      <c r="B12" s="453" t="s">
        <v>661</v>
      </c>
      <c r="C12" s="218" t="s">
        <v>531</v>
      </c>
      <c r="D12" s="218" t="s">
        <v>531</v>
      </c>
      <c r="E12" s="217"/>
      <c r="F12" s="217"/>
    </row>
    <row r="13" spans="1:6" ht="13.5" customHeight="1">
      <c r="A13" s="219" t="s">
        <v>326</v>
      </c>
      <c r="B13" s="218" t="s">
        <v>529</v>
      </c>
      <c r="C13" s="218" t="s">
        <v>531</v>
      </c>
      <c r="D13" s="218" t="s">
        <v>531</v>
      </c>
      <c r="E13" s="217"/>
      <c r="F13" s="217"/>
    </row>
    <row r="14" spans="1:6" ht="13.5" customHeight="1">
      <c r="A14" s="219" t="s">
        <v>532</v>
      </c>
      <c r="B14" s="218" t="s">
        <v>529</v>
      </c>
      <c r="C14" s="218" t="s">
        <v>529</v>
      </c>
      <c r="D14" s="218" t="s">
        <v>529</v>
      </c>
      <c r="E14" s="217"/>
      <c r="F14" s="217"/>
    </row>
    <row r="15" spans="1:6" ht="13.5" customHeight="1">
      <c r="A15" s="219" t="s">
        <v>327</v>
      </c>
      <c r="B15" s="218"/>
      <c r="C15" s="218"/>
      <c r="D15" s="218"/>
      <c r="E15" s="217"/>
      <c r="F15" s="217"/>
    </row>
    <row r="16" spans="1:6" ht="13.5" customHeight="1">
      <c r="A16" s="219" t="s">
        <v>328</v>
      </c>
      <c r="B16" s="218" t="s">
        <v>530</v>
      </c>
      <c r="C16" s="218" t="s">
        <v>529</v>
      </c>
      <c r="D16" s="218" t="s">
        <v>529</v>
      </c>
      <c r="E16" s="217"/>
      <c r="F16" s="217"/>
    </row>
    <row r="17" spans="1:6" ht="13.5" customHeight="1">
      <c r="A17" s="219" t="s">
        <v>329</v>
      </c>
      <c r="B17" s="218" t="s">
        <v>529</v>
      </c>
      <c r="C17" s="218" t="s">
        <v>529</v>
      </c>
      <c r="D17" s="218" t="s">
        <v>529</v>
      </c>
      <c r="E17" s="217"/>
      <c r="F17" s="217"/>
    </row>
    <row r="18" spans="1:6" ht="13.5" customHeight="1">
      <c r="A18" s="219" t="s">
        <v>330</v>
      </c>
      <c r="B18" s="218" t="s">
        <v>529</v>
      </c>
      <c r="C18" s="218" t="s">
        <v>529</v>
      </c>
      <c r="D18" s="218" t="s">
        <v>529</v>
      </c>
      <c r="E18" s="217"/>
      <c r="F18" s="217"/>
    </row>
    <row r="19" spans="1:6" ht="13.5" customHeight="1">
      <c r="A19" s="219" t="s">
        <v>331</v>
      </c>
      <c r="B19" s="218" t="s">
        <v>529</v>
      </c>
      <c r="C19" s="218" t="s">
        <v>529</v>
      </c>
      <c r="D19" s="218" t="s">
        <v>529</v>
      </c>
      <c r="E19" s="217"/>
      <c r="F19" s="217"/>
    </row>
    <row r="20" spans="1:6" ht="13.5" customHeight="1">
      <c r="A20" s="219" t="s">
        <v>332</v>
      </c>
      <c r="B20" s="218" t="s">
        <v>529</v>
      </c>
      <c r="C20" s="218" t="s">
        <v>529</v>
      </c>
      <c r="D20" s="218" t="s">
        <v>529</v>
      </c>
      <c r="E20" s="217"/>
      <c r="F20" s="217"/>
    </row>
    <row r="21" spans="1:6" ht="13.5" customHeight="1">
      <c r="A21" s="220"/>
      <c r="B21" s="221"/>
      <c r="C21" s="221"/>
      <c r="D21" s="221"/>
      <c r="E21" s="217"/>
      <c r="F21" s="217"/>
    </row>
    <row r="22" spans="1:7" ht="13.5" customHeight="1">
      <c r="A22" s="997" t="s">
        <v>333</v>
      </c>
      <c r="B22" s="997"/>
      <c r="C22" s="997"/>
      <c r="D22" s="997"/>
      <c r="E22" s="997"/>
      <c r="F22" s="997"/>
      <c r="G22" s="997"/>
    </row>
    <row r="23" spans="1:7" ht="15">
      <c r="A23" s="217"/>
      <c r="B23" s="217"/>
      <c r="C23" s="217"/>
      <c r="D23" s="217"/>
      <c r="E23" s="771" t="s">
        <v>931</v>
      </c>
      <c r="F23" s="771"/>
      <c r="G23" s="771"/>
    </row>
    <row r="24" spans="1:7" ht="36.75" customHeight="1">
      <c r="A24" s="546" t="s">
        <v>423</v>
      </c>
      <c r="B24" s="546" t="s">
        <v>3</v>
      </c>
      <c r="C24" s="546" t="s">
        <v>334</v>
      </c>
      <c r="D24" s="546" t="s">
        <v>335</v>
      </c>
      <c r="E24" s="546" t="s">
        <v>336</v>
      </c>
      <c r="F24" s="546" t="s">
        <v>337</v>
      </c>
      <c r="G24" s="13"/>
    </row>
    <row r="25" spans="1:6" ht="12.75">
      <c r="A25" s="634" t="s">
        <v>338</v>
      </c>
      <c r="B25" s="218" t="s">
        <v>866</v>
      </c>
      <c r="C25" s="222">
        <v>1</v>
      </c>
      <c r="D25" s="570">
        <v>43586</v>
      </c>
      <c r="E25" s="218" t="s">
        <v>864</v>
      </c>
      <c r="F25" s="218" t="s">
        <v>1050</v>
      </c>
    </row>
    <row r="26" spans="1:6" ht="12.75">
      <c r="A26" s="218" t="s">
        <v>339</v>
      </c>
      <c r="B26" s="218"/>
      <c r="C26" s="222"/>
      <c r="D26" s="222"/>
      <c r="E26" s="218"/>
      <c r="F26" s="218"/>
    </row>
    <row r="27" spans="1:6" ht="15">
      <c r="A27" s="218" t="s">
        <v>340</v>
      </c>
      <c r="B27" s="218"/>
      <c r="C27" s="222"/>
      <c r="D27" s="222"/>
      <c r="E27" s="413"/>
      <c r="F27" s="413"/>
    </row>
    <row r="28" spans="1:6" ht="19.5" customHeight="1">
      <c r="A28" s="218" t="s">
        <v>808</v>
      </c>
      <c r="B28" s="218"/>
      <c r="C28" s="222"/>
      <c r="D28" s="222"/>
      <c r="E28" s="218"/>
      <c r="F28" s="218"/>
    </row>
    <row r="29" spans="1:6" ht="12.75">
      <c r="A29" s="218" t="s">
        <v>795</v>
      </c>
      <c r="B29" s="218"/>
      <c r="C29" s="222"/>
      <c r="D29" s="222"/>
      <c r="E29" s="218"/>
      <c r="F29" s="218"/>
    </row>
    <row r="30" spans="1:6" ht="14.25" customHeight="1">
      <c r="A30" s="218" t="s">
        <v>341</v>
      </c>
      <c r="B30" s="218"/>
      <c r="C30" s="222"/>
      <c r="D30" s="222"/>
      <c r="E30" s="218"/>
      <c r="F30" s="218"/>
    </row>
    <row r="31" spans="1:6" ht="12.75">
      <c r="A31" s="635" t="s">
        <v>342</v>
      </c>
      <c r="B31" s="218"/>
      <c r="C31" s="222"/>
      <c r="D31" s="570"/>
      <c r="E31" s="218"/>
      <c r="F31" s="574"/>
    </row>
    <row r="32" spans="1:6" ht="12.75">
      <c r="A32" s="634" t="s">
        <v>343</v>
      </c>
      <c r="B32" s="218"/>
      <c r="C32" s="222"/>
      <c r="D32" s="570"/>
      <c r="E32" s="218"/>
      <c r="F32" s="218"/>
    </row>
    <row r="33" spans="1:6" ht="12.75">
      <c r="A33" s="218" t="s">
        <v>344</v>
      </c>
      <c r="B33" s="218"/>
      <c r="C33" s="222"/>
      <c r="D33" s="222"/>
      <c r="E33" s="218"/>
      <c r="F33" s="218"/>
    </row>
    <row r="34" spans="1:6" ht="12.75">
      <c r="A34" s="575" t="s">
        <v>345</v>
      </c>
      <c r="B34" s="218"/>
      <c r="C34" s="222"/>
      <c r="D34" s="222"/>
      <c r="E34" s="218"/>
      <c r="F34" s="218"/>
    </row>
    <row r="35" spans="1:6" ht="23.25" customHeight="1">
      <c r="A35" s="994" t="s">
        <v>346</v>
      </c>
      <c r="B35" s="638" t="s">
        <v>1051</v>
      </c>
      <c r="C35" s="222">
        <v>1</v>
      </c>
      <c r="D35" s="570">
        <v>43770</v>
      </c>
      <c r="E35" s="218" t="s">
        <v>864</v>
      </c>
      <c r="F35" s="218" t="s">
        <v>1055</v>
      </c>
    </row>
    <row r="36" spans="1:6" ht="12.75">
      <c r="A36" s="994"/>
      <c r="B36" s="218" t="s">
        <v>477</v>
      </c>
      <c r="C36" s="222">
        <v>1</v>
      </c>
      <c r="D36" s="570">
        <v>43770</v>
      </c>
      <c r="E36" s="218" t="s">
        <v>864</v>
      </c>
      <c r="F36" s="218" t="s">
        <v>1050</v>
      </c>
    </row>
    <row r="37" spans="1:6" ht="12.75">
      <c r="A37" s="994"/>
      <c r="B37" s="218" t="s">
        <v>479</v>
      </c>
      <c r="C37" s="222">
        <v>1</v>
      </c>
      <c r="D37" s="570">
        <v>43831</v>
      </c>
      <c r="E37" s="218" t="s">
        <v>864</v>
      </c>
      <c r="F37" s="574" t="s">
        <v>1052</v>
      </c>
    </row>
    <row r="38" spans="1:6" ht="12.75">
      <c r="A38" s="994"/>
      <c r="B38" s="218" t="s">
        <v>866</v>
      </c>
      <c r="C38" s="222">
        <v>1</v>
      </c>
      <c r="D38" s="570">
        <v>43862</v>
      </c>
      <c r="E38" s="218" t="s">
        <v>864</v>
      </c>
      <c r="F38" s="218" t="s">
        <v>867</v>
      </c>
    </row>
    <row r="39" spans="1:6" ht="12.75">
      <c r="A39" s="218" t="s">
        <v>347</v>
      </c>
      <c r="B39" s="218"/>
      <c r="C39" s="222"/>
      <c r="D39" s="222"/>
      <c r="E39" s="218"/>
      <c r="F39" s="218"/>
    </row>
    <row r="40" spans="1:6" ht="12.75">
      <c r="A40" s="218" t="s">
        <v>348</v>
      </c>
      <c r="B40" s="218"/>
      <c r="C40" s="222"/>
      <c r="D40" s="222"/>
      <c r="E40" s="218"/>
      <c r="F40" s="218"/>
    </row>
    <row r="41" spans="1:6" ht="12.75">
      <c r="A41" s="218" t="s">
        <v>349</v>
      </c>
      <c r="B41" s="218"/>
      <c r="C41" s="222"/>
      <c r="D41" s="222"/>
      <c r="E41" s="218"/>
      <c r="F41" s="218"/>
    </row>
    <row r="42" spans="1:6" ht="12.75">
      <c r="A42" s="218" t="s">
        <v>350</v>
      </c>
      <c r="B42" s="218"/>
      <c r="C42" s="222"/>
      <c r="D42" s="222"/>
      <c r="E42" s="218"/>
      <c r="F42" s="218"/>
    </row>
    <row r="43" spans="1:6" ht="12.75">
      <c r="A43" s="992" t="s">
        <v>351</v>
      </c>
      <c r="B43" s="218" t="s">
        <v>865</v>
      </c>
      <c r="C43" s="222">
        <v>1</v>
      </c>
      <c r="D43" s="570">
        <v>43800</v>
      </c>
      <c r="E43" s="218" t="s">
        <v>864</v>
      </c>
      <c r="F43" s="218" t="s">
        <v>1050</v>
      </c>
    </row>
    <row r="44" spans="1:6" ht="12.75">
      <c r="A44" s="993"/>
      <c r="B44" s="218" t="s">
        <v>476</v>
      </c>
      <c r="C44" s="222">
        <v>1</v>
      </c>
      <c r="D44" s="570">
        <v>43862</v>
      </c>
      <c r="E44" s="218" t="s">
        <v>864</v>
      </c>
      <c r="F44" s="218" t="s">
        <v>867</v>
      </c>
    </row>
    <row r="45" spans="1:6" ht="12.75">
      <c r="A45" s="992" t="s">
        <v>44</v>
      </c>
      <c r="B45" s="218" t="s">
        <v>476</v>
      </c>
      <c r="C45" s="222">
        <v>1</v>
      </c>
      <c r="D45" s="570">
        <v>43586</v>
      </c>
      <c r="E45" s="218" t="s">
        <v>1053</v>
      </c>
      <c r="F45" s="218" t="s">
        <v>1050</v>
      </c>
    </row>
    <row r="46" spans="1:6" ht="12.75">
      <c r="A46" s="993"/>
      <c r="B46" s="218" t="s">
        <v>475</v>
      </c>
      <c r="C46" s="222">
        <v>1</v>
      </c>
      <c r="D46" s="570">
        <v>43586</v>
      </c>
      <c r="E46" s="218" t="s">
        <v>864</v>
      </c>
      <c r="F46" s="218" t="s">
        <v>1050</v>
      </c>
    </row>
    <row r="47" spans="1:6" ht="12.75">
      <c r="A47" s="993"/>
      <c r="B47" s="218" t="s">
        <v>475</v>
      </c>
      <c r="C47" s="222">
        <v>1</v>
      </c>
      <c r="D47" s="570">
        <v>43617</v>
      </c>
      <c r="E47" s="218" t="s">
        <v>864</v>
      </c>
      <c r="F47" s="218" t="s">
        <v>1050</v>
      </c>
    </row>
    <row r="48" spans="1:6" ht="15">
      <c r="A48" s="993"/>
      <c r="B48" s="218" t="s">
        <v>1054</v>
      </c>
      <c r="C48" s="222">
        <v>1</v>
      </c>
      <c r="D48" s="570">
        <v>43678</v>
      </c>
      <c r="E48" s="218" t="s">
        <v>864</v>
      </c>
      <c r="F48" s="414" t="s">
        <v>1050</v>
      </c>
    </row>
    <row r="49" spans="1:6" ht="12.75">
      <c r="A49" s="993"/>
      <c r="B49" s="218" t="s">
        <v>477</v>
      </c>
      <c r="C49" s="222">
        <v>1</v>
      </c>
      <c r="D49" s="570">
        <v>43709</v>
      </c>
      <c r="E49" s="218" t="s">
        <v>1053</v>
      </c>
      <c r="F49" s="218" t="s">
        <v>1050</v>
      </c>
    </row>
    <row r="50" spans="1:6" ht="12.75">
      <c r="A50" s="993"/>
      <c r="B50" s="218" t="s">
        <v>1054</v>
      </c>
      <c r="C50" s="222">
        <v>1</v>
      </c>
      <c r="D50" s="570">
        <v>43770</v>
      </c>
      <c r="E50" s="218" t="s">
        <v>864</v>
      </c>
      <c r="F50" s="218" t="s">
        <v>1055</v>
      </c>
    </row>
    <row r="51" spans="1:6" ht="15">
      <c r="A51" s="993"/>
      <c r="B51" s="218" t="s">
        <v>865</v>
      </c>
      <c r="C51" s="222">
        <v>1</v>
      </c>
      <c r="D51" s="570">
        <v>43800</v>
      </c>
      <c r="E51" s="218" t="s">
        <v>864</v>
      </c>
      <c r="F51" s="414" t="s">
        <v>867</v>
      </c>
    </row>
    <row r="52" spans="1:6" ht="15">
      <c r="A52" s="993"/>
      <c r="B52" s="218" t="s">
        <v>478</v>
      </c>
      <c r="C52" s="222">
        <v>1</v>
      </c>
      <c r="D52" s="570">
        <v>43800</v>
      </c>
      <c r="E52" s="218" t="s">
        <v>864</v>
      </c>
      <c r="F52" s="414" t="s">
        <v>1050</v>
      </c>
    </row>
    <row r="53" spans="1:6" ht="15">
      <c r="A53" s="993"/>
      <c r="B53" s="218" t="s">
        <v>1054</v>
      </c>
      <c r="C53" s="222">
        <v>1</v>
      </c>
      <c r="D53" s="570">
        <v>43831</v>
      </c>
      <c r="E53" s="218" t="s">
        <v>864</v>
      </c>
      <c r="F53" s="639" t="s">
        <v>1056</v>
      </c>
    </row>
    <row r="54" spans="1:6" s="16" customFormat="1" ht="15">
      <c r="A54" s="571" t="s">
        <v>16</v>
      </c>
      <c r="B54" s="572"/>
      <c r="C54" s="571">
        <v>16</v>
      </c>
      <c r="D54" s="571"/>
      <c r="E54" s="573"/>
      <c r="F54" s="573"/>
    </row>
    <row r="58" spans="1:7" ht="15" customHeight="1">
      <c r="A58" s="188"/>
      <c r="B58" s="188"/>
      <c r="C58" s="188"/>
      <c r="E58" s="189"/>
      <c r="F58" s="201"/>
      <c r="G58" s="189"/>
    </row>
    <row r="59" spans="1:7" ht="15" customHeight="1">
      <c r="A59" s="188"/>
      <c r="B59" s="188"/>
      <c r="C59" s="188"/>
      <c r="E59" s="764" t="s">
        <v>1062</v>
      </c>
      <c r="F59" s="764"/>
      <c r="G59" s="189"/>
    </row>
    <row r="60" spans="1:7" ht="15" customHeight="1">
      <c r="A60" s="188"/>
      <c r="B60" s="188"/>
      <c r="C60" s="188"/>
      <c r="E60" s="764" t="s">
        <v>485</v>
      </c>
      <c r="F60" s="764"/>
      <c r="G60" s="189"/>
    </row>
    <row r="61" spans="1:7" ht="12.75">
      <c r="A61" s="188" t="s">
        <v>12</v>
      </c>
      <c r="C61" s="188"/>
      <c r="E61" s="333" t="s">
        <v>80</v>
      </c>
      <c r="F61" s="190"/>
      <c r="G61" s="192"/>
    </row>
  </sheetData>
  <sheetProtection/>
  <mergeCells count="11">
    <mergeCell ref="F1:G1"/>
    <mergeCell ref="A2:G2"/>
    <mergeCell ref="A3:G3"/>
    <mergeCell ref="A5:G5"/>
    <mergeCell ref="A22:G22"/>
    <mergeCell ref="E23:G23"/>
    <mergeCell ref="E59:F59"/>
    <mergeCell ref="E60:F60"/>
    <mergeCell ref="A45:A53"/>
    <mergeCell ref="A35:A38"/>
    <mergeCell ref="A43:A44"/>
  </mergeCells>
  <printOptions horizontalCentered="1"/>
  <pageMargins left="0.71" right="0.19" top="0.24" bottom="0.28" header="0.18" footer="0.19"/>
  <pageSetup fitToHeight="1" fitToWidth="1" horizontalDpi="600" verticalDpi="600" orientation="landscape" paperSize="9" scale="64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4:H1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37.5" customHeight="1"/>
    <row r="2" ht="37.5" customHeight="1"/>
    <row r="3" ht="37.5" customHeight="1"/>
    <row r="4" spans="2:8" ht="48" customHeight="1">
      <c r="B4" s="653" t="s">
        <v>942</v>
      </c>
      <c r="C4" s="653"/>
      <c r="D4" s="653"/>
      <c r="E4" s="653"/>
      <c r="F4" s="653"/>
      <c r="G4" s="653"/>
      <c r="H4" s="653"/>
    </row>
    <row r="5" spans="2:8" ht="12.75" customHeight="1">
      <c r="B5" s="653"/>
      <c r="C5" s="653"/>
      <c r="D5" s="653"/>
      <c r="E5" s="653"/>
      <c r="F5" s="653"/>
      <c r="G5" s="653"/>
      <c r="H5" s="653"/>
    </row>
    <row r="6" spans="2:8" ht="12.75" customHeight="1">
      <c r="B6" s="653"/>
      <c r="C6" s="653"/>
      <c r="D6" s="653"/>
      <c r="E6" s="653"/>
      <c r="F6" s="653"/>
      <c r="G6" s="653"/>
      <c r="H6" s="653"/>
    </row>
    <row r="7" spans="2:8" ht="12.75" customHeight="1">
      <c r="B7" s="653"/>
      <c r="C7" s="653"/>
      <c r="D7" s="653"/>
      <c r="E7" s="653"/>
      <c r="F7" s="653"/>
      <c r="G7" s="653"/>
      <c r="H7" s="653"/>
    </row>
    <row r="8" spans="2:8" ht="12.75" customHeight="1">
      <c r="B8" s="653"/>
      <c r="C8" s="653"/>
      <c r="D8" s="653"/>
      <c r="E8" s="653"/>
      <c r="F8" s="653"/>
      <c r="G8" s="653"/>
      <c r="H8" s="653"/>
    </row>
    <row r="9" spans="2:8" ht="12.75" customHeight="1">
      <c r="B9" s="653"/>
      <c r="C9" s="653"/>
      <c r="D9" s="653"/>
      <c r="E9" s="653"/>
      <c r="F9" s="653"/>
      <c r="G9" s="653"/>
      <c r="H9" s="653"/>
    </row>
    <row r="10" spans="2:8" ht="12.75" customHeight="1">
      <c r="B10" s="653"/>
      <c r="C10" s="653"/>
      <c r="D10" s="653"/>
      <c r="E10" s="653"/>
      <c r="F10" s="653"/>
      <c r="G10" s="653"/>
      <c r="H10" s="653"/>
    </row>
    <row r="11" spans="2:8" ht="12.75" customHeight="1">
      <c r="B11" s="653"/>
      <c r="C11" s="653"/>
      <c r="D11" s="653"/>
      <c r="E11" s="653"/>
      <c r="F11" s="653"/>
      <c r="G11" s="653"/>
      <c r="H11" s="653"/>
    </row>
    <row r="12" spans="2:8" ht="12.75" customHeight="1">
      <c r="B12" s="653"/>
      <c r="C12" s="653"/>
      <c r="D12" s="653"/>
      <c r="E12" s="653"/>
      <c r="F12" s="653"/>
      <c r="G12" s="653"/>
      <c r="H12" s="653"/>
    </row>
    <row r="13" spans="2:8" ht="12.75" customHeight="1">
      <c r="B13" s="653"/>
      <c r="C13" s="653"/>
      <c r="D13" s="653"/>
      <c r="E13" s="653"/>
      <c r="F13" s="653"/>
      <c r="G13" s="653"/>
      <c r="H13" s="653"/>
    </row>
    <row r="14" spans="2:8" ht="12.75" customHeight="1">
      <c r="B14" s="653"/>
      <c r="C14" s="653"/>
      <c r="D14" s="653"/>
      <c r="E14" s="653"/>
      <c r="F14" s="653"/>
      <c r="G14" s="653"/>
      <c r="H14" s="653"/>
    </row>
    <row r="15" spans="2:8" ht="12.75" customHeight="1">
      <c r="B15" s="653"/>
      <c r="C15" s="653"/>
      <c r="D15" s="653"/>
      <c r="E15" s="653"/>
      <c r="F15" s="653"/>
      <c r="G15" s="653"/>
      <c r="H15" s="653"/>
    </row>
    <row r="16" spans="2:8" ht="12.75" customHeight="1">
      <c r="B16" s="653"/>
      <c r="C16" s="653"/>
      <c r="D16" s="653"/>
      <c r="E16" s="653"/>
      <c r="F16" s="653"/>
      <c r="G16" s="653"/>
      <c r="H16" s="653"/>
    </row>
    <row r="17" spans="2:8" ht="12.75" customHeight="1">
      <c r="B17" s="653"/>
      <c r="C17" s="653"/>
      <c r="D17" s="653"/>
      <c r="E17" s="653"/>
      <c r="F17" s="653"/>
      <c r="G17" s="653"/>
      <c r="H17" s="653"/>
    </row>
    <row r="18" spans="2:8" ht="12.75" customHeight="1">
      <c r="B18" s="653"/>
      <c r="C18" s="653"/>
      <c r="D18" s="653"/>
      <c r="E18" s="653"/>
      <c r="F18" s="653"/>
      <c r="G18" s="653"/>
      <c r="H18" s="653"/>
    </row>
  </sheetData>
  <sheetProtection/>
  <mergeCells count="1">
    <mergeCell ref="B4:H18"/>
  </mergeCells>
  <printOptions/>
  <pageMargins left="1" right="0.7" top="1.87" bottom="0.75" header="0.3" footer="0.3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view="pageBreakPreview" zoomScale="90" zoomScaleSheetLayoutView="90" zoomScalePageLayoutView="0" workbookViewId="0" topLeftCell="A1">
      <selection activeCell="J33" sqref="J33:L33"/>
    </sheetView>
  </sheetViews>
  <sheetFormatPr defaultColWidth="9.140625" defaultRowHeight="12.75"/>
  <cols>
    <col min="1" max="1" width="4.7109375" style="50" customWidth="1"/>
    <col min="2" max="2" width="11.8515625" style="50" customWidth="1"/>
    <col min="3" max="3" width="11.7109375" style="50" customWidth="1"/>
    <col min="4" max="4" width="12.00390625" style="50" customWidth="1"/>
    <col min="5" max="5" width="12.140625" style="50" customWidth="1"/>
    <col min="6" max="6" width="13.8515625" style="50" customWidth="1"/>
    <col min="7" max="7" width="12.421875" style="50" customWidth="1"/>
    <col min="8" max="8" width="13.28125" style="50" customWidth="1"/>
    <col min="9" max="9" width="12.7109375" style="50" customWidth="1"/>
    <col min="10" max="10" width="15.00390625" style="50" customWidth="1"/>
    <col min="11" max="11" width="16.00390625" style="50" customWidth="1"/>
    <col min="12" max="12" width="11.8515625" style="50" customWidth="1"/>
    <col min="13" max="16384" width="9.140625" style="50" customWidth="1"/>
  </cols>
  <sheetData>
    <row r="1" spans="3:12" ht="15" customHeight="1">
      <c r="C1" s="652"/>
      <c r="D1" s="652"/>
      <c r="E1" s="652"/>
      <c r="F1" s="652"/>
      <c r="G1" s="652"/>
      <c r="H1" s="652"/>
      <c r="I1" s="153"/>
      <c r="J1" s="833" t="s">
        <v>732</v>
      </c>
      <c r="K1" s="833"/>
      <c r="L1" s="833"/>
    </row>
    <row r="2" spans="1:12" s="56" customFormat="1" ht="19.5" customHeight="1">
      <c r="A2" s="1001" t="s">
        <v>0</v>
      </c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</row>
    <row r="3" spans="1:12" s="56" customFormat="1" ht="19.5" customHeight="1">
      <c r="A3" s="1000" t="s">
        <v>878</v>
      </c>
      <c r="B3" s="1000"/>
      <c r="C3" s="1000"/>
      <c r="D3" s="1000"/>
      <c r="E3" s="1000"/>
      <c r="F3" s="1000"/>
      <c r="G3" s="1000"/>
      <c r="H3" s="1000"/>
      <c r="I3" s="1000"/>
      <c r="J3" s="1000"/>
      <c r="K3" s="1000"/>
      <c r="L3" s="1000"/>
    </row>
    <row r="4" spans="1:11" s="56" customFormat="1" ht="14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2" s="56" customFormat="1" ht="18" customHeight="1">
      <c r="A5" s="886" t="s">
        <v>943</v>
      </c>
      <c r="B5" s="886"/>
      <c r="C5" s="886"/>
      <c r="D5" s="886"/>
      <c r="E5" s="886"/>
      <c r="F5" s="886"/>
      <c r="G5" s="886"/>
      <c r="H5" s="886"/>
      <c r="I5" s="886"/>
      <c r="J5" s="886"/>
      <c r="K5" s="886"/>
      <c r="L5" s="886"/>
    </row>
    <row r="6" spans="1:11" ht="15.75">
      <c r="A6" s="668" t="s">
        <v>472</v>
      </c>
      <c r="B6" s="668"/>
      <c r="C6" s="108"/>
      <c r="D6" s="108"/>
      <c r="E6" s="108"/>
      <c r="F6" s="108"/>
      <c r="G6" s="108"/>
      <c r="H6" s="108"/>
      <c r="I6" s="108"/>
      <c r="J6" s="108"/>
      <c r="K6" s="108"/>
    </row>
    <row r="7" spans="1:20" s="288" customFormat="1" ht="18.75" customHeight="1">
      <c r="A7" s="999" t="s">
        <v>70</v>
      </c>
      <c r="B7" s="999" t="s">
        <v>71</v>
      </c>
      <c r="C7" s="999" t="s">
        <v>72</v>
      </c>
      <c r="D7" s="999" t="s">
        <v>157</v>
      </c>
      <c r="E7" s="999"/>
      <c r="F7" s="999"/>
      <c r="G7" s="999"/>
      <c r="H7" s="999"/>
      <c r="I7" s="1002" t="s">
        <v>238</v>
      </c>
      <c r="J7" s="999" t="s">
        <v>73</v>
      </c>
      <c r="K7" s="999" t="s">
        <v>425</v>
      </c>
      <c r="L7" s="998" t="s">
        <v>74</v>
      </c>
      <c r="S7" s="289"/>
      <c r="T7" s="289"/>
    </row>
    <row r="8" spans="1:12" s="288" customFormat="1" ht="30.75" customHeight="1">
      <c r="A8" s="999"/>
      <c r="B8" s="999"/>
      <c r="C8" s="999"/>
      <c r="D8" s="999" t="s">
        <v>75</v>
      </c>
      <c r="E8" s="999" t="s">
        <v>76</v>
      </c>
      <c r="F8" s="999"/>
      <c r="G8" s="999"/>
      <c r="H8" s="1002" t="s">
        <v>77</v>
      </c>
      <c r="I8" s="1003"/>
      <c r="J8" s="999"/>
      <c r="K8" s="999"/>
      <c r="L8" s="998"/>
    </row>
    <row r="9" spans="1:12" s="288" customFormat="1" ht="45">
      <c r="A9" s="999"/>
      <c r="B9" s="999"/>
      <c r="C9" s="999"/>
      <c r="D9" s="999"/>
      <c r="E9" s="255" t="s">
        <v>78</v>
      </c>
      <c r="F9" s="255" t="s">
        <v>79</v>
      </c>
      <c r="G9" s="255" t="s">
        <v>16</v>
      </c>
      <c r="H9" s="1004"/>
      <c r="I9" s="1004"/>
      <c r="J9" s="999"/>
      <c r="K9" s="999"/>
      <c r="L9" s="998"/>
    </row>
    <row r="10" spans="1:12" s="141" customFormat="1" ht="15" customHeight="1">
      <c r="A10" s="140">
        <v>1</v>
      </c>
      <c r="B10" s="140">
        <v>2</v>
      </c>
      <c r="C10" s="140">
        <v>3</v>
      </c>
      <c r="D10" s="140">
        <v>4</v>
      </c>
      <c r="E10" s="140">
        <v>5</v>
      </c>
      <c r="F10" s="140">
        <v>6</v>
      </c>
      <c r="G10" s="140">
        <v>7</v>
      </c>
      <c r="H10" s="140">
        <v>8</v>
      </c>
      <c r="I10" s="140">
        <v>9</v>
      </c>
      <c r="J10" s="140">
        <v>10</v>
      </c>
      <c r="K10" s="140">
        <v>11</v>
      </c>
      <c r="L10" s="140">
        <v>12</v>
      </c>
    </row>
    <row r="11" spans="1:12" ht="15.75" customHeight="1">
      <c r="A11" s="58">
        <v>1</v>
      </c>
      <c r="B11" s="441">
        <v>43922</v>
      </c>
      <c r="C11" s="54">
        <v>30</v>
      </c>
      <c r="D11" s="53">
        <v>14</v>
      </c>
      <c r="E11" s="53">
        <v>4</v>
      </c>
      <c r="F11" s="53">
        <v>3</v>
      </c>
      <c r="G11" s="53">
        <f>SUM(E11:F11)</f>
        <v>7</v>
      </c>
      <c r="H11" s="53">
        <f>D11+G11</f>
        <v>21</v>
      </c>
      <c r="I11" s="53">
        <f>C11-H11</f>
        <v>9</v>
      </c>
      <c r="J11" s="53">
        <f>C11-H11</f>
        <v>9</v>
      </c>
      <c r="K11" s="53">
        <v>0</v>
      </c>
      <c r="L11" s="53"/>
    </row>
    <row r="12" spans="1:12" ht="15.75" customHeight="1">
      <c r="A12" s="58">
        <v>2</v>
      </c>
      <c r="B12" s="441">
        <v>43952</v>
      </c>
      <c r="C12" s="54">
        <v>31</v>
      </c>
      <c r="D12" s="53">
        <v>12</v>
      </c>
      <c r="E12" s="53">
        <v>5</v>
      </c>
      <c r="F12" s="53">
        <v>1</v>
      </c>
      <c r="G12" s="53">
        <f aca="true" t="shared" si="0" ref="G12:G22">SUM(E12:F12)</f>
        <v>6</v>
      </c>
      <c r="H12" s="53">
        <f aca="true" t="shared" si="1" ref="H12:H22">D12+G12</f>
        <v>18</v>
      </c>
      <c r="I12" s="53">
        <f aca="true" t="shared" si="2" ref="I12:I22">C12-H12</f>
        <v>13</v>
      </c>
      <c r="J12" s="53">
        <f aca="true" t="shared" si="3" ref="J12:J22">C12-H12</f>
        <v>13</v>
      </c>
      <c r="K12" s="53">
        <v>0</v>
      </c>
      <c r="L12" s="53"/>
    </row>
    <row r="13" spans="1:12" ht="15.75" customHeight="1">
      <c r="A13" s="58">
        <v>3</v>
      </c>
      <c r="B13" s="441">
        <v>43983</v>
      </c>
      <c r="C13" s="54">
        <v>30</v>
      </c>
      <c r="D13" s="53">
        <v>0</v>
      </c>
      <c r="E13" s="53">
        <v>4</v>
      </c>
      <c r="F13" s="53">
        <v>1</v>
      </c>
      <c r="G13" s="53">
        <f t="shared" si="0"/>
        <v>5</v>
      </c>
      <c r="H13" s="53">
        <f t="shared" si="1"/>
        <v>5</v>
      </c>
      <c r="I13" s="53">
        <f t="shared" si="2"/>
        <v>25</v>
      </c>
      <c r="J13" s="53">
        <f t="shared" si="3"/>
        <v>25</v>
      </c>
      <c r="K13" s="53">
        <v>0</v>
      </c>
      <c r="L13" s="53"/>
    </row>
    <row r="14" spans="1:12" ht="15.75" customHeight="1">
      <c r="A14" s="58">
        <v>4</v>
      </c>
      <c r="B14" s="441">
        <v>44013</v>
      </c>
      <c r="C14" s="54">
        <v>31</v>
      </c>
      <c r="D14" s="53">
        <v>0</v>
      </c>
      <c r="E14" s="53">
        <v>4</v>
      </c>
      <c r="F14" s="53">
        <v>4</v>
      </c>
      <c r="G14" s="53">
        <f t="shared" si="0"/>
        <v>8</v>
      </c>
      <c r="H14" s="53">
        <f t="shared" si="1"/>
        <v>8</v>
      </c>
      <c r="I14" s="53">
        <f t="shared" si="2"/>
        <v>23</v>
      </c>
      <c r="J14" s="53">
        <f t="shared" si="3"/>
        <v>23</v>
      </c>
      <c r="K14" s="53">
        <v>0</v>
      </c>
      <c r="L14" s="53"/>
    </row>
    <row r="15" spans="1:12" ht="15.75" customHeight="1">
      <c r="A15" s="58">
        <v>5</v>
      </c>
      <c r="B15" s="441">
        <v>44044</v>
      </c>
      <c r="C15" s="54">
        <v>31</v>
      </c>
      <c r="D15" s="53">
        <v>0</v>
      </c>
      <c r="E15" s="53">
        <v>5</v>
      </c>
      <c r="F15" s="53">
        <v>7</v>
      </c>
      <c r="G15" s="53">
        <f t="shared" si="0"/>
        <v>12</v>
      </c>
      <c r="H15" s="53">
        <f t="shared" si="1"/>
        <v>12</v>
      </c>
      <c r="I15" s="53">
        <f t="shared" si="2"/>
        <v>19</v>
      </c>
      <c r="J15" s="53">
        <f t="shared" si="3"/>
        <v>19</v>
      </c>
      <c r="K15" s="53">
        <v>0</v>
      </c>
      <c r="L15" s="53"/>
    </row>
    <row r="16" spans="1:12" s="57" customFormat="1" ht="15.75" customHeight="1">
      <c r="A16" s="58">
        <v>6</v>
      </c>
      <c r="B16" s="441">
        <v>44075</v>
      </c>
      <c r="C16" s="58">
        <v>30</v>
      </c>
      <c r="D16" s="59">
        <v>0</v>
      </c>
      <c r="E16" s="59">
        <v>4</v>
      </c>
      <c r="F16" s="59">
        <v>4</v>
      </c>
      <c r="G16" s="53">
        <f t="shared" si="0"/>
        <v>8</v>
      </c>
      <c r="H16" s="53">
        <f t="shared" si="1"/>
        <v>8</v>
      </c>
      <c r="I16" s="53">
        <f t="shared" si="2"/>
        <v>22</v>
      </c>
      <c r="J16" s="53">
        <f t="shared" si="3"/>
        <v>22</v>
      </c>
      <c r="K16" s="53">
        <v>0</v>
      </c>
      <c r="L16" s="59"/>
    </row>
    <row r="17" spans="1:12" s="57" customFormat="1" ht="15.75" customHeight="1">
      <c r="A17" s="58">
        <v>7</v>
      </c>
      <c r="B17" s="441">
        <v>44105</v>
      </c>
      <c r="C17" s="58">
        <v>31</v>
      </c>
      <c r="D17" s="59">
        <v>10</v>
      </c>
      <c r="E17" s="59">
        <v>4</v>
      </c>
      <c r="F17" s="59">
        <v>1</v>
      </c>
      <c r="G17" s="53">
        <f t="shared" si="0"/>
        <v>5</v>
      </c>
      <c r="H17" s="53">
        <f t="shared" si="1"/>
        <v>15</v>
      </c>
      <c r="I17" s="53">
        <f t="shared" si="2"/>
        <v>16</v>
      </c>
      <c r="J17" s="53">
        <f t="shared" si="3"/>
        <v>16</v>
      </c>
      <c r="K17" s="53">
        <v>0</v>
      </c>
      <c r="L17" s="59"/>
    </row>
    <row r="18" spans="1:12" s="57" customFormat="1" ht="15.75" customHeight="1">
      <c r="A18" s="58">
        <v>8</v>
      </c>
      <c r="B18" s="441">
        <v>44136</v>
      </c>
      <c r="C18" s="58">
        <v>30</v>
      </c>
      <c r="D18" s="59">
        <v>1</v>
      </c>
      <c r="E18" s="59">
        <v>5</v>
      </c>
      <c r="F18" s="59">
        <v>2</v>
      </c>
      <c r="G18" s="53">
        <f t="shared" si="0"/>
        <v>7</v>
      </c>
      <c r="H18" s="53">
        <f t="shared" si="1"/>
        <v>8</v>
      </c>
      <c r="I18" s="53">
        <f t="shared" si="2"/>
        <v>22</v>
      </c>
      <c r="J18" s="53">
        <f t="shared" si="3"/>
        <v>22</v>
      </c>
      <c r="K18" s="53">
        <v>0</v>
      </c>
      <c r="L18" s="59"/>
    </row>
    <row r="19" spans="1:12" s="57" customFormat="1" ht="15.75" customHeight="1">
      <c r="A19" s="58">
        <v>9</v>
      </c>
      <c r="B19" s="441">
        <v>44166</v>
      </c>
      <c r="C19" s="58">
        <v>31</v>
      </c>
      <c r="D19" s="59">
        <v>0</v>
      </c>
      <c r="E19" s="59">
        <v>4</v>
      </c>
      <c r="F19" s="59">
        <v>1</v>
      </c>
      <c r="G19" s="53">
        <f t="shared" si="0"/>
        <v>5</v>
      </c>
      <c r="H19" s="53">
        <f t="shared" si="1"/>
        <v>5</v>
      </c>
      <c r="I19" s="53">
        <f t="shared" si="2"/>
        <v>26</v>
      </c>
      <c r="J19" s="53">
        <f t="shared" si="3"/>
        <v>26</v>
      </c>
      <c r="K19" s="53">
        <v>0</v>
      </c>
      <c r="L19" s="59"/>
    </row>
    <row r="20" spans="1:12" s="57" customFormat="1" ht="15.75" customHeight="1">
      <c r="A20" s="58">
        <v>10</v>
      </c>
      <c r="B20" s="441">
        <v>44197</v>
      </c>
      <c r="C20" s="58">
        <v>31</v>
      </c>
      <c r="D20" s="59">
        <v>0</v>
      </c>
      <c r="E20" s="59">
        <v>5</v>
      </c>
      <c r="F20" s="59">
        <v>3</v>
      </c>
      <c r="G20" s="53">
        <f t="shared" si="0"/>
        <v>8</v>
      </c>
      <c r="H20" s="53">
        <f t="shared" si="1"/>
        <v>8</v>
      </c>
      <c r="I20" s="53">
        <f t="shared" si="2"/>
        <v>23</v>
      </c>
      <c r="J20" s="53">
        <f t="shared" si="3"/>
        <v>23</v>
      </c>
      <c r="K20" s="53">
        <v>0</v>
      </c>
      <c r="L20" s="59"/>
    </row>
    <row r="21" spans="1:12" s="57" customFormat="1" ht="15.75" customHeight="1">
      <c r="A21" s="58">
        <v>11</v>
      </c>
      <c r="B21" s="441">
        <v>44228</v>
      </c>
      <c r="C21" s="58">
        <v>28</v>
      </c>
      <c r="D21" s="59">
        <v>0</v>
      </c>
      <c r="E21" s="59">
        <v>4</v>
      </c>
      <c r="F21" s="59">
        <v>3</v>
      </c>
      <c r="G21" s="53">
        <f t="shared" si="0"/>
        <v>7</v>
      </c>
      <c r="H21" s="53">
        <f t="shared" si="1"/>
        <v>7</v>
      </c>
      <c r="I21" s="53">
        <f t="shared" si="2"/>
        <v>21</v>
      </c>
      <c r="J21" s="53">
        <f t="shared" si="3"/>
        <v>21</v>
      </c>
      <c r="K21" s="53">
        <v>0</v>
      </c>
      <c r="L21" s="59"/>
    </row>
    <row r="22" spans="1:12" s="57" customFormat="1" ht="15.75" customHeight="1">
      <c r="A22" s="58">
        <v>12</v>
      </c>
      <c r="B22" s="441">
        <v>44256</v>
      </c>
      <c r="C22" s="58">
        <v>31</v>
      </c>
      <c r="D22" s="59">
        <v>0</v>
      </c>
      <c r="E22" s="59">
        <v>4</v>
      </c>
      <c r="F22" s="59">
        <v>16</v>
      </c>
      <c r="G22" s="53">
        <f t="shared" si="0"/>
        <v>20</v>
      </c>
      <c r="H22" s="53">
        <f t="shared" si="1"/>
        <v>20</v>
      </c>
      <c r="I22" s="53">
        <f t="shared" si="2"/>
        <v>11</v>
      </c>
      <c r="J22" s="53">
        <f t="shared" si="3"/>
        <v>11</v>
      </c>
      <c r="K22" s="53">
        <v>0</v>
      </c>
      <c r="L22" s="59"/>
    </row>
    <row r="23" spans="1:12" s="287" customFormat="1" ht="15.75" customHeight="1">
      <c r="A23" s="60"/>
      <c r="B23" s="61" t="s">
        <v>16</v>
      </c>
      <c r="C23" s="52">
        <f>SUM(C11:C22)</f>
        <v>365</v>
      </c>
      <c r="D23" s="440">
        <f aca="true" t="shared" si="4" ref="D23:J23">SUM(D11:D22)</f>
        <v>37</v>
      </c>
      <c r="E23" s="440">
        <f t="shared" si="4"/>
        <v>52</v>
      </c>
      <c r="F23" s="440">
        <f t="shared" si="4"/>
        <v>46</v>
      </c>
      <c r="G23" s="440">
        <f t="shared" si="4"/>
        <v>98</v>
      </c>
      <c r="H23" s="440">
        <f t="shared" si="4"/>
        <v>135</v>
      </c>
      <c r="I23" s="440">
        <f t="shared" si="4"/>
        <v>230</v>
      </c>
      <c r="J23" s="440">
        <f t="shared" si="4"/>
        <v>230</v>
      </c>
      <c r="K23" s="53">
        <v>0</v>
      </c>
      <c r="L23" s="60"/>
    </row>
    <row r="24" spans="1:11" s="57" customFormat="1" ht="11.25" customHeight="1">
      <c r="A24" s="62"/>
      <c r="B24" s="63"/>
      <c r="C24" s="64"/>
      <c r="D24" s="62"/>
      <c r="E24" s="62"/>
      <c r="F24" s="62"/>
      <c r="G24" s="62"/>
      <c r="H24" s="62"/>
      <c r="I24" s="62"/>
      <c r="J24" s="62"/>
      <c r="K24" s="62"/>
    </row>
    <row r="25" spans="1:11" ht="14.25">
      <c r="A25" s="50" t="s">
        <v>102</v>
      </c>
      <c r="K25" s="50" t="s">
        <v>11</v>
      </c>
    </row>
    <row r="26" spans="1:10" ht="15">
      <c r="A26" s="55"/>
      <c r="B26" s="55"/>
      <c r="C26" s="55"/>
      <c r="D26" s="55"/>
      <c r="E26" s="55"/>
      <c r="F26" s="55"/>
      <c r="G26" s="55"/>
      <c r="H26" s="55"/>
      <c r="I26" s="55"/>
      <c r="J26" s="55"/>
    </row>
    <row r="27" spans="1:10" ht="15">
      <c r="A27" s="55"/>
      <c r="B27" s="55"/>
      <c r="C27" s="55"/>
      <c r="D27" s="55"/>
      <c r="E27" s="55"/>
      <c r="F27" s="55"/>
      <c r="G27" s="55"/>
      <c r="H27" s="55"/>
      <c r="I27" s="55"/>
      <c r="J27" s="55"/>
    </row>
    <row r="28" spans="1:10" ht="15">
      <c r="A28" s="55"/>
      <c r="B28" s="55"/>
      <c r="C28" s="55"/>
      <c r="D28" s="55"/>
      <c r="E28" s="55"/>
      <c r="F28" s="55"/>
      <c r="G28" s="55"/>
      <c r="H28" s="55"/>
      <c r="I28" s="55"/>
      <c r="J28" s="55"/>
    </row>
    <row r="29" spans="1:10" ht="15">
      <c r="A29" s="55"/>
      <c r="B29" s="55"/>
      <c r="C29" s="55"/>
      <c r="D29" s="55"/>
      <c r="E29" s="55"/>
      <c r="F29" s="55"/>
      <c r="G29" s="55"/>
      <c r="H29" s="55"/>
      <c r="I29" s="55"/>
      <c r="J29" s="55"/>
    </row>
    <row r="30" spans="1:10" ht="15">
      <c r="A30" s="55"/>
      <c r="B30" s="55"/>
      <c r="C30" s="55"/>
      <c r="D30" s="55"/>
      <c r="E30" s="55"/>
      <c r="F30" s="55"/>
      <c r="G30" s="55"/>
      <c r="H30" s="55"/>
      <c r="I30" s="55"/>
      <c r="J30" s="55"/>
    </row>
    <row r="31" spans="1:11" ht="15">
      <c r="A31" s="55" t="s">
        <v>12</v>
      </c>
      <c r="B31" s="55"/>
      <c r="C31" s="55"/>
      <c r="D31" s="55"/>
      <c r="E31" s="55"/>
      <c r="F31" s="55" t="s">
        <v>11</v>
      </c>
      <c r="G31" s="55"/>
      <c r="H31" s="55"/>
      <c r="I31" s="55"/>
      <c r="J31" s="923"/>
      <c r="K31" s="923"/>
    </row>
    <row r="32" spans="2:12" ht="15" customHeight="1">
      <c r="B32" s="287"/>
      <c r="C32" s="287"/>
      <c r="D32" s="287"/>
      <c r="E32" s="287"/>
      <c r="F32" s="287"/>
      <c r="G32" s="287"/>
      <c r="H32" s="287"/>
      <c r="I32" s="287"/>
      <c r="J32" s="923" t="s">
        <v>1062</v>
      </c>
      <c r="K32" s="923"/>
      <c r="L32" s="923"/>
    </row>
    <row r="33" spans="2:12" ht="15" customHeight="1">
      <c r="B33" s="287"/>
      <c r="C33" s="287"/>
      <c r="D33" s="287"/>
      <c r="E33" s="287"/>
      <c r="F33" s="287"/>
      <c r="G33" s="287"/>
      <c r="H33" s="287"/>
      <c r="I33" s="287"/>
      <c r="J33" s="923" t="s">
        <v>485</v>
      </c>
      <c r="K33" s="923"/>
      <c r="L33" s="923"/>
    </row>
    <row r="34" spans="1:11" ht="15">
      <c r="A34" s="55"/>
      <c r="B34" s="55"/>
      <c r="C34" s="55"/>
      <c r="D34" s="55"/>
      <c r="E34" s="55"/>
      <c r="F34" s="55"/>
      <c r="G34" s="55"/>
      <c r="I34" s="55"/>
      <c r="J34" s="55" t="s">
        <v>80</v>
      </c>
      <c r="K34" s="55"/>
    </row>
  </sheetData>
  <sheetProtection/>
  <mergeCells count="20">
    <mergeCell ref="J32:L32"/>
    <mergeCell ref="J33:L33"/>
    <mergeCell ref="K7:K9"/>
    <mergeCell ref="D8:D9"/>
    <mergeCell ref="E8:G8"/>
    <mergeCell ref="I7:I9"/>
    <mergeCell ref="J31:K31"/>
    <mergeCell ref="D7:H7"/>
    <mergeCell ref="J7:J9"/>
    <mergeCell ref="H8:H9"/>
    <mergeCell ref="A6:B6"/>
    <mergeCell ref="L7:L9"/>
    <mergeCell ref="A7:A9"/>
    <mergeCell ref="B7:B9"/>
    <mergeCell ref="C7:C9"/>
    <mergeCell ref="J1:L1"/>
    <mergeCell ref="A3:L3"/>
    <mergeCell ref="A2:L2"/>
    <mergeCell ref="A5:L5"/>
    <mergeCell ref="C1:H1"/>
  </mergeCells>
  <printOptions horizontalCentered="1"/>
  <pageMargins left="0.51" right="0.19" top="0.87" bottom="0" header="0.64" footer="0.31496062992125984"/>
  <pageSetup fitToHeight="1" fitToWidth="1" horizontalDpi="600" verticalDpi="600" orientation="landscape" paperSize="9" scale="93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90" zoomScaleSheetLayoutView="90" zoomScalePageLayoutView="0" workbookViewId="0" topLeftCell="A1">
      <selection activeCell="B7" sqref="B7:B9"/>
    </sheetView>
  </sheetViews>
  <sheetFormatPr defaultColWidth="9.140625" defaultRowHeight="12.75"/>
  <cols>
    <col min="1" max="1" width="4.7109375" style="50" customWidth="1"/>
    <col min="2" max="2" width="12.57421875" style="50" customWidth="1"/>
    <col min="3" max="3" width="11.7109375" style="50" customWidth="1"/>
    <col min="4" max="4" width="12.00390625" style="50" customWidth="1"/>
    <col min="5" max="5" width="11.8515625" style="50" customWidth="1"/>
    <col min="6" max="6" width="14.57421875" style="50" customWidth="1"/>
    <col min="7" max="7" width="11.421875" style="50" customWidth="1"/>
    <col min="8" max="8" width="14.7109375" style="50" customWidth="1"/>
    <col min="9" max="9" width="15.28125" style="50" customWidth="1"/>
    <col min="10" max="10" width="14.7109375" style="50" customWidth="1"/>
    <col min="11" max="11" width="13.7109375" style="50" customWidth="1"/>
    <col min="12" max="16384" width="9.140625" style="50" customWidth="1"/>
  </cols>
  <sheetData>
    <row r="1" spans="3:11" ht="15" customHeight="1">
      <c r="C1" s="652"/>
      <c r="D1" s="652"/>
      <c r="E1" s="652"/>
      <c r="F1" s="652"/>
      <c r="G1" s="652"/>
      <c r="H1" s="652"/>
      <c r="I1" s="153"/>
      <c r="J1" s="833" t="s">
        <v>733</v>
      </c>
      <c r="K1" s="833"/>
    </row>
    <row r="2" spans="1:10" s="56" customFormat="1" ht="19.5" customHeight="1">
      <c r="A2" s="1001" t="s">
        <v>0</v>
      </c>
      <c r="B2" s="1001"/>
      <c r="C2" s="1001"/>
      <c r="D2" s="1001"/>
      <c r="E2" s="1001"/>
      <c r="F2" s="1001"/>
      <c r="G2" s="1001"/>
      <c r="H2" s="1001"/>
      <c r="I2" s="1001"/>
      <c r="J2" s="1001"/>
    </row>
    <row r="3" spans="1:11" s="56" customFormat="1" ht="19.5" customHeight="1">
      <c r="A3" s="1000" t="s">
        <v>878</v>
      </c>
      <c r="B3" s="1000"/>
      <c r="C3" s="1000"/>
      <c r="D3" s="1000"/>
      <c r="E3" s="1000"/>
      <c r="F3" s="1000"/>
      <c r="G3" s="1000"/>
      <c r="H3" s="1000"/>
      <c r="I3" s="1000"/>
      <c r="J3" s="1000"/>
      <c r="K3" s="1000"/>
    </row>
    <row r="4" spans="1:10" s="56" customFormat="1" ht="14.25" customHeight="1">
      <c r="A4" s="65"/>
      <c r="B4" s="65"/>
      <c r="C4" s="65"/>
      <c r="D4" s="65"/>
      <c r="E4" s="65"/>
      <c r="F4" s="65"/>
      <c r="G4" s="65"/>
      <c r="H4" s="65"/>
      <c r="I4" s="65"/>
      <c r="J4" s="65"/>
    </row>
    <row r="5" spans="1:10" s="56" customFormat="1" ht="18" customHeight="1">
      <c r="A5" s="886" t="s">
        <v>944</v>
      </c>
      <c r="B5" s="886"/>
      <c r="C5" s="886"/>
      <c r="D5" s="886"/>
      <c r="E5" s="886"/>
      <c r="F5" s="886"/>
      <c r="G5" s="886"/>
      <c r="H5" s="886"/>
      <c r="I5" s="886"/>
      <c r="J5" s="886"/>
    </row>
    <row r="6" spans="1:10" ht="15.75">
      <c r="A6" s="668" t="s">
        <v>472</v>
      </c>
      <c r="B6" s="668"/>
      <c r="C6" s="129"/>
      <c r="D6" s="129"/>
      <c r="E6" s="129"/>
      <c r="F6" s="129"/>
      <c r="G6" s="129"/>
      <c r="H6" s="129"/>
      <c r="I6" s="152"/>
      <c r="J6" s="152"/>
    </row>
    <row r="7" spans="1:11" s="402" customFormat="1" ht="19.5" customHeight="1">
      <c r="A7" s="999" t="s">
        <v>70</v>
      </c>
      <c r="B7" s="999" t="s">
        <v>71</v>
      </c>
      <c r="C7" s="999" t="s">
        <v>72</v>
      </c>
      <c r="D7" s="999" t="s">
        <v>158</v>
      </c>
      <c r="E7" s="999"/>
      <c r="F7" s="999"/>
      <c r="G7" s="999"/>
      <c r="H7" s="999"/>
      <c r="I7" s="1002" t="s">
        <v>513</v>
      </c>
      <c r="J7" s="999" t="s">
        <v>73</v>
      </c>
      <c r="K7" s="999" t="s">
        <v>222</v>
      </c>
    </row>
    <row r="8" spans="1:19" s="402" customFormat="1" ht="24" customHeight="1">
      <c r="A8" s="999"/>
      <c r="B8" s="999"/>
      <c r="C8" s="999"/>
      <c r="D8" s="999" t="s">
        <v>75</v>
      </c>
      <c r="E8" s="999" t="s">
        <v>76</v>
      </c>
      <c r="F8" s="999"/>
      <c r="G8" s="999"/>
      <c r="H8" s="1002" t="s">
        <v>77</v>
      </c>
      <c r="I8" s="1003"/>
      <c r="J8" s="999"/>
      <c r="K8" s="999"/>
      <c r="R8" s="403"/>
      <c r="S8" s="403"/>
    </row>
    <row r="9" spans="1:11" s="402" customFormat="1" ht="38.25" customHeight="1">
      <c r="A9" s="999"/>
      <c r="B9" s="999"/>
      <c r="C9" s="999"/>
      <c r="D9" s="999"/>
      <c r="E9" s="255" t="s">
        <v>78</v>
      </c>
      <c r="F9" s="255" t="s">
        <v>79</v>
      </c>
      <c r="G9" s="255" t="s">
        <v>16</v>
      </c>
      <c r="H9" s="1004"/>
      <c r="I9" s="1004"/>
      <c r="J9" s="999"/>
      <c r="K9" s="999"/>
    </row>
    <row r="10" spans="1:11" s="57" customFormat="1" ht="14.25" customHeight="1">
      <c r="A10" s="52">
        <v>1</v>
      </c>
      <c r="B10" s="52">
        <v>2</v>
      </c>
      <c r="C10" s="52">
        <v>3</v>
      </c>
      <c r="D10" s="52">
        <v>4</v>
      </c>
      <c r="E10" s="52">
        <v>5</v>
      </c>
      <c r="F10" s="52">
        <v>6</v>
      </c>
      <c r="G10" s="52">
        <v>7</v>
      </c>
      <c r="H10" s="52">
        <v>8</v>
      </c>
      <c r="I10" s="52">
        <v>9</v>
      </c>
      <c r="J10" s="52">
        <v>10</v>
      </c>
      <c r="K10" s="52">
        <v>11</v>
      </c>
    </row>
    <row r="11" spans="1:11" ht="14.25" customHeight="1">
      <c r="A11" s="58">
        <v>1</v>
      </c>
      <c r="B11" s="441">
        <v>43922</v>
      </c>
      <c r="C11" s="54">
        <v>30</v>
      </c>
      <c r="D11" s="53">
        <v>14</v>
      </c>
      <c r="E11" s="53">
        <v>4</v>
      </c>
      <c r="F11" s="53">
        <v>3</v>
      </c>
      <c r="G11" s="53">
        <f>SUM(E11:F11)</f>
        <v>7</v>
      </c>
      <c r="H11" s="53">
        <f>D11+G11</f>
        <v>21</v>
      </c>
      <c r="I11" s="53">
        <f>C11-H11</f>
        <v>9</v>
      </c>
      <c r="J11" s="53">
        <f>C11-H11</f>
        <v>9</v>
      </c>
      <c r="K11" s="53"/>
    </row>
    <row r="12" spans="1:11" ht="14.25" customHeight="1">
      <c r="A12" s="58">
        <v>2</v>
      </c>
      <c r="B12" s="441">
        <v>43952</v>
      </c>
      <c r="C12" s="54">
        <v>31</v>
      </c>
      <c r="D12" s="53">
        <v>12</v>
      </c>
      <c r="E12" s="53">
        <v>5</v>
      </c>
      <c r="F12" s="53">
        <v>1</v>
      </c>
      <c r="G12" s="53">
        <f aca="true" t="shared" si="0" ref="G12:G22">SUM(E12:F12)</f>
        <v>6</v>
      </c>
      <c r="H12" s="53">
        <f aca="true" t="shared" si="1" ref="H12:H22">D12+G12</f>
        <v>18</v>
      </c>
      <c r="I12" s="53">
        <f aca="true" t="shared" si="2" ref="I12:I22">C12-H12</f>
        <v>13</v>
      </c>
      <c r="J12" s="53">
        <f aca="true" t="shared" si="3" ref="J12:J22">C12-H12</f>
        <v>13</v>
      </c>
      <c r="K12" s="53"/>
    </row>
    <row r="13" spans="1:11" ht="14.25" customHeight="1">
      <c r="A13" s="58">
        <v>3</v>
      </c>
      <c r="B13" s="441">
        <v>43983</v>
      </c>
      <c r="C13" s="54">
        <v>30</v>
      </c>
      <c r="D13" s="53">
        <v>0</v>
      </c>
      <c r="E13" s="53">
        <v>4</v>
      </c>
      <c r="F13" s="53">
        <v>1</v>
      </c>
      <c r="G13" s="53">
        <f t="shared" si="0"/>
        <v>5</v>
      </c>
      <c r="H13" s="53">
        <f t="shared" si="1"/>
        <v>5</v>
      </c>
      <c r="I13" s="53">
        <f t="shared" si="2"/>
        <v>25</v>
      </c>
      <c r="J13" s="53">
        <f t="shared" si="3"/>
        <v>25</v>
      </c>
      <c r="K13" s="53"/>
    </row>
    <row r="14" spans="1:11" ht="14.25" customHeight="1">
      <c r="A14" s="58">
        <v>4</v>
      </c>
      <c r="B14" s="441">
        <v>44013</v>
      </c>
      <c r="C14" s="54">
        <v>31</v>
      </c>
      <c r="D14" s="53">
        <v>0</v>
      </c>
      <c r="E14" s="53">
        <v>4</v>
      </c>
      <c r="F14" s="53">
        <v>4</v>
      </c>
      <c r="G14" s="53">
        <f t="shared" si="0"/>
        <v>8</v>
      </c>
      <c r="H14" s="53">
        <f t="shared" si="1"/>
        <v>8</v>
      </c>
      <c r="I14" s="53">
        <f t="shared" si="2"/>
        <v>23</v>
      </c>
      <c r="J14" s="53">
        <f t="shared" si="3"/>
        <v>23</v>
      </c>
      <c r="K14" s="53"/>
    </row>
    <row r="15" spans="1:11" ht="14.25" customHeight="1">
      <c r="A15" s="58">
        <v>5</v>
      </c>
      <c r="B15" s="441">
        <v>44044</v>
      </c>
      <c r="C15" s="54">
        <v>31</v>
      </c>
      <c r="D15" s="53">
        <v>0</v>
      </c>
      <c r="E15" s="53">
        <v>5</v>
      </c>
      <c r="F15" s="53">
        <v>7</v>
      </c>
      <c r="G15" s="53">
        <f t="shared" si="0"/>
        <v>12</v>
      </c>
      <c r="H15" s="53">
        <f t="shared" si="1"/>
        <v>12</v>
      </c>
      <c r="I15" s="53">
        <f t="shared" si="2"/>
        <v>19</v>
      </c>
      <c r="J15" s="53">
        <f t="shared" si="3"/>
        <v>19</v>
      </c>
      <c r="K15" s="53"/>
    </row>
    <row r="16" spans="1:11" s="57" customFormat="1" ht="14.25" customHeight="1">
      <c r="A16" s="58">
        <v>6</v>
      </c>
      <c r="B16" s="441">
        <v>44075</v>
      </c>
      <c r="C16" s="58">
        <v>30</v>
      </c>
      <c r="D16" s="59">
        <v>0</v>
      </c>
      <c r="E16" s="59">
        <v>4</v>
      </c>
      <c r="F16" s="59">
        <v>4</v>
      </c>
      <c r="G16" s="53">
        <f t="shared" si="0"/>
        <v>8</v>
      </c>
      <c r="H16" s="53">
        <f t="shared" si="1"/>
        <v>8</v>
      </c>
      <c r="I16" s="53">
        <f t="shared" si="2"/>
        <v>22</v>
      </c>
      <c r="J16" s="53">
        <f t="shared" si="3"/>
        <v>22</v>
      </c>
      <c r="K16" s="59"/>
    </row>
    <row r="17" spans="1:11" s="57" customFormat="1" ht="14.25" customHeight="1">
      <c r="A17" s="58">
        <v>7</v>
      </c>
      <c r="B17" s="441">
        <v>44105</v>
      </c>
      <c r="C17" s="58">
        <v>31</v>
      </c>
      <c r="D17" s="59">
        <v>10</v>
      </c>
      <c r="E17" s="59">
        <v>4</v>
      </c>
      <c r="F17" s="59">
        <v>1</v>
      </c>
      <c r="G17" s="53">
        <f t="shared" si="0"/>
        <v>5</v>
      </c>
      <c r="H17" s="53">
        <f t="shared" si="1"/>
        <v>15</v>
      </c>
      <c r="I17" s="53">
        <f t="shared" si="2"/>
        <v>16</v>
      </c>
      <c r="J17" s="53">
        <f t="shared" si="3"/>
        <v>16</v>
      </c>
      <c r="K17" s="59"/>
    </row>
    <row r="18" spans="1:11" s="57" customFormat="1" ht="14.25" customHeight="1">
      <c r="A18" s="58">
        <v>8</v>
      </c>
      <c r="B18" s="441">
        <v>44136</v>
      </c>
      <c r="C18" s="58">
        <v>30</v>
      </c>
      <c r="D18" s="59">
        <v>1</v>
      </c>
      <c r="E18" s="59">
        <v>5</v>
      </c>
      <c r="F18" s="59">
        <v>2</v>
      </c>
      <c r="G18" s="53">
        <f t="shared" si="0"/>
        <v>7</v>
      </c>
      <c r="H18" s="53">
        <f t="shared" si="1"/>
        <v>8</v>
      </c>
      <c r="I18" s="53">
        <f t="shared" si="2"/>
        <v>22</v>
      </c>
      <c r="J18" s="53">
        <f t="shared" si="3"/>
        <v>22</v>
      </c>
      <c r="K18" s="59"/>
    </row>
    <row r="19" spans="1:11" s="57" customFormat="1" ht="14.25" customHeight="1">
      <c r="A19" s="58">
        <v>9</v>
      </c>
      <c r="B19" s="441">
        <v>44166</v>
      </c>
      <c r="C19" s="58">
        <v>31</v>
      </c>
      <c r="D19" s="59">
        <v>0</v>
      </c>
      <c r="E19" s="59">
        <v>4</v>
      </c>
      <c r="F19" s="59">
        <v>1</v>
      </c>
      <c r="G19" s="53">
        <f t="shared" si="0"/>
        <v>5</v>
      </c>
      <c r="H19" s="53">
        <f t="shared" si="1"/>
        <v>5</v>
      </c>
      <c r="I19" s="53">
        <f t="shared" si="2"/>
        <v>26</v>
      </c>
      <c r="J19" s="53">
        <f t="shared" si="3"/>
        <v>26</v>
      </c>
      <c r="K19" s="59"/>
    </row>
    <row r="20" spans="1:11" s="57" customFormat="1" ht="14.25" customHeight="1">
      <c r="A20" s="58">
        <v>10</v>
      </c>
      <c r="B20" s="441">
        <v>44197</v>
      </c>
      <c r="C20" s="58">
        <v>31</v>
      </c>
      <c r="D20" s="59">
        <v>0</v>
      </c>
      <c r="E20" s="59">
        <v>5</v>
      </c>
      <c r="F20" s="59">
        <v>3</v>
      </c>
      <c r="G20" s="53">
        <f t="shared" si="0"/>
        <v>8</v>
      </c>
      <c r="H20" s="53">
        <f t="shared" si="1"/>
        <v>8</v>
      </c>
      <c r="I20" s="53">
        <f t="shared" si="2"/>
        <v>23</v>
      </c>
      <c r="J20" s="53">
        <f t="shared" si="3"/>
        <v>23</v>
      </c>
      <c r="K20" s="59"/>
    </row>
    <row r="21" spans="1:11" s="57" customFormat="1" ht="14.25" customHeight="1">
      <c r="A21" s="58">
        <v>11</v>
      </c>
      <c r="B21" s="441">
        <v>44228</v>
      </c>
      <c r="C21" s="58">
        <v>28</v>
      </c>
      <c r="D21" s="59">
        <v>0</v>
      </c>
      <c r="E21" s="59">
        <v>4</v>
      </c>
      <c r="F21" s="59">
        <v>3</v>
      </c>
      <c r="G21" s="53">
        <f t="shared" si="0"/>
        <v>7</v>
      </c>
      <c r="H21" s="53">
        <f t="shared" si="1"/>
        <v>7</v>
      </c>
      <c r="I21" s="53">
        <f t="shared" si="2"/>
        <v>21</v>
      </c>
      <c r="J21" s="53">
        <f t="shared" si="3"/>
        <v>21</v>
      </c>
      <c r="K21" s="59"/>
    </row>
    <row r="22" spans="1:11" s="57" customFormat="1" ht="14.25" customHeight="1">
      <c r="A22" s="58">
        <v>12</v>
      </c>
      <c r="B22" s="441">
        <v>44256</v>
      </c>
      <c r="C22" s="58">
        <v>31</v>
      </c>
      <c r="D22" s="59">
        <v>0</v>
      </c>
      <c r="E22" s="59">
        <v>4</v>
      </c>
      <c r="F22" s="59">
        <v>16</v>
      </c>
      <c r="G22" s="53">
        <f t="shared" si="0"/>
        <v>20</v>
      </c>
      <c r="H22" s="53">
        <f t="shared" si="1"/>
        <v>20</v>
      </c>
      <c r="I22" s="53">
        <f t="shared" si="2"/>
        <v>11</v>
      </c>
      <c r="J22" s="53">
        <f t="shared" si="3"/>
        <v>11</v>
      </c>
      <c r="K22" s="59"/>
    </row>
    <row r="23" spans="1:11" s="57" customFormat="1" ht="14.25" customHeight="1">
      <c r="A23" s="59"/>
      <c r="B23" s="61" t="s">
        <v>16</v>
      </c>
      <c r="C23" s="52">
        <f>SUM(C11:C22)</f>
        <v>365</v>
      </c>
      <c r="D23" s="440">
        <f aca="true" t="shared" si="4" ref="D23:J23">SUM(D11:D22)</f>
        <v>37</v>
      </c>
      <c r="E23" s="440">
        <f t="shared" si="4"/>
        <v>52</v>
      </c>
      <c r="F23" s="440">
        <f t="shared" si="4"/>
        <v>46</v>
      </c>
      <c r="G23" s="440">
        <f t="shared" si="4"/>
        <v>98</v>
      </c>
      <c r="H23" s="440">
        <f t="shared" si="4"/>
        <v>135</v>
      </c>
      <c r="I23" s="440">
        <f t="shared" si="4"/>
        <v>230</v>
      </c>
      <c r="J23" s="440">
        <f t="shared" si="4"/>
        <v>230</v>
      </c>
      <c r="K23" s="59"/>
    </row>
    <row r="24" spans="1:10" s="57" customFormat="1" ht="11.25" customHeight="1">
      <c r="A24" s="62"/>
      <c r="B24" s="63"/>
      <c r="C24" s="64"/>
      <c r="D24" s="62"/>
      <c r="E24" s="62"/>
      <c r="F24" s="62"/>
      <c r="G24" s="62"/>
      <c r="H24" s="62"/>
      <c r="I24" s="62" t="s">
        <v>11</v>
      </c>
      <c r="J24" s="62"/>
    </row>
    <row r="25" ht="14.25">
      <c r="A25" s="50" t="s">
        <v>102</v>
      </c>
    </row>
    <row r="26" spans="1:10" ht="15">
      <c r="A26" s="55"/>
      <c r="B26" s="55"/>
      <c r="C26" s="55"/>
      <c r="D26" s="55"/>
      <c r="E26" s="55"/>
      <c r="F26" s="55"/>
      <c r="G26" s="55"/>
      <c r="H26" s="55"/>
      <c r="I26" s="55"/>
      <c r="J26" s="55"/>
    </row>
    <row r="27" spans="1:10" ht="15">
      <c r="A27" s="55"/>
      <c r="B27" s="55"/>
      <c r="C27" s="55"/>
      <c r="D27" s="55"/>
      <c r="E27" s="55"/>
      <c r="F27" s="55"/>
      <c r="G27" s="55"/>
      <c r="H27" s="55"/>
      <c r="I27" s="55"/>
      <c r="J27" s="55"/>
    </row>
    <row r="28" spans="1:10" ht="15">
      <c r="A28" s="55"/>
      <c r="B28" s="55"/>
      <c r="C28" s="55"/>
      <c r="D28" s="55"/>
      <c r="E28" s="55"/>
      <c r="F28" s="55"/>
      <c r="G28" s="55"/>
      <c r="H28" s="55"/>
      <c r="I28" s="55"/>
      <c r="J28" s="55"/>
    </row>
    <row r="29" spans="1:10" ht="15">
      <c r="A29" s="55"/>
      <c r="B29" s="55"/>
      <c r="C29" s="55"/>
      <c r="D29" s="55"/>
      <c r="E29" s="55"/>
      <c r="F29" s="55"/>
      <c r="G29" s="55"/>
      <c r="H29" s="55"/>
      <c r="I29" s="55"/>
      <c r="J29" s="55"/>
    </row>
    <row r="30" ht="14.25">
      <c r="D30" s="50" t="s">
        <v>11</v>
      </c>
    </row>
    <row r="31" spans="1:11" ht="15">
      <c r="A31" s="55" t="s">
        <v>12</v>
      </c>
      <c r="B31" s="55"/>
      <c r="C31" s="55"/>
      <c r="D31" s="55"/>
      <c r="E31" s="55"/>
      <c r="F31" s="55"/>
      <c r="G31" s="55"/>
      <c r="H31" s="55"/>
      <c r="I31" s="923"/>
      <c r="J31" s="923"/>
      <c r="K31" s="923"/>
    </row>
    <row r="32" spans="2:11" ht="15" customHeight="1">
      <c r="B32" s="287"/>
      <c r="C32" s="287"/>
      <c r="D32" s="287"/>
      <c r="E32" s="287"/>
      <c r="F32" s="287"/>
      <c r="G32" s="287"/>
      <c r="H32" s="287"/>
      <c r="I32" s="923" t="s">
        <v>1062</v>
      </c>
      <c r="J32" s="923"/>
      <c r="K32" s="923"/>
    </row>
    <row r="33" spans="2:11" ht="15" customHeight="1">
      <c r="B33" s="287"/>
      <c r="C33" s="287"/>
      <c r="D33" s="287"/>
      <c r="E33" s="287"/>
      <c r="F33" s="287"/>
      <c r="G33" s="287"/>
      <c r="H33" s="287"/>
      <c r="I33" s="923" t="s">
        <v>485</v>
      </c>
      <c r="J33" s="923"/>
      <c r="K33" s="923"/>
    </row>
    <row r="34" spans="1:10" ht="15">
      <c r="A34" s="55"/>
      <c r="B34" s="55"/>
      <c r="C34" s="55"/>
      <c r="D34" s="55"/>
      <c r="E34" s="55"/>
      <c r="F34" s="55"/>
      <c r="G34" s="55"/>
      <c r="I34" s="55" t="s">
        <v>542</v>
      </c>
      <c r="J34" s="55"/>
    </row>
  </sheetData>
  <sheetProtection/>
  <mergeCells count="19">
    <mergeCell ref="A6:B6"/>
    <mergeCell ref="A7:A9"/>
    <mergeCell ref="B7:B9"/>
    <mergeCell ref="C7:C9"/>
    <mergeCell ref="J1:K1"/>
    <mergeCell ref="A3:K3"/>
    <mergeCell ref="C1:H1"/>
    <mergeCell ref="A2:J2"/>
    <mergeCell ref="A5:J5"/>
    <mergeCell ref="I31:K31"/>
    <mergeCell ref="I32:K32"/>
    <mergeCell ref="I33:K33"/>
    <mergeCell ref="K7:K9"/>
    <mergeCell ref="H8:H9"/>
    <mergeCell ref="D7:H7"/>
    <mergeCell ref="J7:J9"/>
    <mergeCell ref="D8:D9"/>
    <mergeCell ref="E8:G8"/>
    <mergeCell ref="I7:I9"/>
  </mergeCells>
  <printOptions horizontalCentered="1"/>
  <pageMargins left="0.39" right="0.31" top="0.73" bottom="0" header="0.54" footer="0.31496062992125984"/>
  <pageSetup fitToHeight="1" fitToWidth="1"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view="pageBreakPreview" zoomScaleSheetLayoutView="100" zoomScalePageLayoutView="0" workbookViewId="0" topLeftCell="B1">
      <selection activeCell="H19" sqref="H19"/>
    </sheetView>
  </sheetViews>
  <sheetFormatPr defaultColWidth="9.140625" defaultRowHeight="12.75"/>
  <cols>
    <col min="1" max="1" width="5.57421875" style="237" customWidth="1"/>
    <col min="2" max="2" width="11.421875" style="237" customWidth="1"/>
    <col min="3" max="3" width="10.28125" style="237" customWidth="1"/>
    <col min="4" max="4" width="8.421875" style="237" customWidth="1"/>
    <col min="5" max="6" width="9.8515625" style="237" customWidth="1"/>
    <col min="7" max="7" width="10.8515625" style="237" customWidth="1"/>
    <col min="8" max="8" width="12.8515625" style="237" customWidth="1"/>
    <col min="9" max="9" width="8.7109375" style="226" customWidth="1"/>
    <col min="10" max="10" width="9.140625" style="226" customWidth="1"/>
    <col min="11" max="11" width="8.00390625" style="226" customWidth="1"/>
    <col min="12" max="12" width="8.140625" style="226" customWidth="1"/>
    <col min="13" max="13" width="9.140625" style="226" customWidth="1"/>
    <col min="14" max="14" width="8.8515625" style="226" customWidth="1"/>
    <col min="15" max="18" width="8.421875" style="226" customWidth="1"/>
    <col min="19" max="19" width="11.140625" style="226" customWidth="1"/>
    <col min="20" max="20" width="13.140625" style="226" customWidth="1"/>
    <col min="21" max="16384" width="9.140625" style="226" customWidth="1"/>
  </cols>
  <sheetData>
    <row r="1" spans="7:20" ht="15">
      <c r="G1" s="1014"/>
      <c r="H1" s="1014"/>
      <c r="I1" s="1014"/>
      <c r="J1" s="237"/>
      <c r="K1" s="237"/>
      <c r="L1" s="237"/>
      <c r="M1" s="237"/>
      <c r="N1" s="237"/>
      <c r="O1" s="237"/>
      <c r="P1" s="237"/>
      <c r="Q1" s="770" t="s">
        <v>734</v>
      </c>
      <c r="R1" s="770"/>
      <c r="S1" s="237"/>
      <c r="T1" s="237"/>
    </row>
    <row r="2" spans="1:20" ht="15.75">
      <c r="A2" s="1013" t="s">
        <v>0</v>
      </c>
      <c r="B2" s="1013"/>
      <c r="C2" s="1013"/>
      <c r="D2" s="1013"/>
      <c r="E2" s="1013"/>
      <c r="F2" s="1013"/>
      <c r="G2" s="1013"/>
      <c r="H2" s="1013"/>
      <c r="I2" s="1013"/>
      <c r="J2" s="1013"/>
      <c r="K2" s="1013"/>
      <c r="L2" s="1013"/>
      <c r="M2" s="1013"/>
      <c r="N2" s="1013"/>
      <c r="O2" s="1013"/>
      <c r="P2" s="1013"/>
      <c r="Q2" s="1013"/>
      <c r="R2" s="1013"/>
      <c r="S2" s="237"/>
      <c r="T2" s="237"/>
    </row>
    <row r="3" spans="1:20" ht="18">
      <c r="A3" s="1006" t="s">
        <v>878</v>
      </c>
      <c r="B3" s="1006"/>
      <c r="C3" s="1006"/>
      <c r="D3" s="1006"/>
      <c r="E3" s="1006"/>
      <c r="F3" s="1006"/>
      <c r="G3" s="1006"/>
      <c r="H3" s="1006"/>
      <c r="I3" s="1006"/>
      <c r="J3" s="1006"/>
      <c r="K3" s="1006"/>
      <c r="L3" s="1006"/>
      <c r="M3" s="1006"/>
      <c r="N3" s="1006"/>
      <c r="O3" s="1006"/>
      <c r="P3" s="1006"/>
      <c r="Q3" s="1006"/>
      <c r="R3" s="1006"/>
      <c r="S3" s="237"/>
      <c r="T3" s="237"/>
    </row>
    <row r="4" spans="1:20" ht="12.75" customHeight="1">
      <c r="A4" s="1012" t="s">
        <v>955</v>
      </c>
      <c r="B4" s="1012"/>
      <c r="C4" s="1012"/>
      <c r="D4" s="1012"/>
      <c r="E4" s="1012"/>
      <c r="F4" s="1012"/>
      <c r="G4" s="1012"/>
      <c r="H4" s="1012"/>
      <c r="I4" s="1012"/>
      <c r="J4" s="1012"/>
      <c r="K4" s="1012"/>
      <c r="L4" s="1012"/>
      <c r="M4" s="1012"/>
      <c r="N4" s="1012"/>
      <c r="O4" s="1012"/>
      <c r="P4" s="1012"/>
      <c r="Q4" s="237"/>
      <c r="R4" s="237"/>
      <c r="S4" s="237"/>
      <c r="T4" s="237"/>
    </row>
    <row r="5" spans="1:20" s="227" customFormat="1" ht="7.5" customHeight="1">
      <c r="A5" s="1012"/>
      <c r="B5" s="1012"/>
      <c r="C5" s="1012"/>
      <c r="D5" s="1012"/>
      <c r="E5" s="1012"/>
      <c r="F5" s="1012"/>
      <c r="G5" s="1012"/>
      <c r="H5" s="1012"/>
      <c r="I5" s="1012"/>
      <c r="J5" s="1012"/>
      <c r="K5" s="1012"/>
      <c r="L5" s="1012"/>
      <c r="M5" s="1012"/>
      <c r="N5" s="1012"/>
      <c r="O5" s="1012"/>
      <c r="P5" s="1012"/>
      <c r="Q5" s="245"/>
      <c r="R5" s="245"/>
      <c r="S5" s="249"/>
      <c r="T5" s="249"/>
    </row>
    <row r="6" spans="1:20" ht="12.75">
      <c r="A6" s="1007"/>
      <c r="B6" s="1007"/>
      <c r="C6" s="1007"/>
      <c r="D6" s="1007"/>
      <c r="E6" s="1007"/>
      <c r="F6" s="1007"/>
      <c r="G6" s="1007"/>
      <c r="H6" s="1007"/>
      <c r="I6" s="1007"/>
      <c r="J6" s="1007"/>
      <c r="K6" s="1007"/>
      <c r="L6" s="1007"/>
      <c r="M6" s="1007"/>
      <c r="N6" s="1007"/>
      <c r="O6" s="1007"/>
      <c r="P6" s="1007"/>
      <c r="Q6" s="1007"/>
      <c r="R6" s="1007"/>
      <c r="S6" s="237"/>
      <c r="T6" s="237"/>
    </row>
    <row r="7" spans="1:20" ht="12.75">
      <c r="A7" s="668" t="s">
        <v>472</v>
      </c>
      <c r="B7" s="668"/>
      <c r="H7" s="238"/>
      <c r="I7" s="237"/>
      <c r="J7" s="237"/>
      <c r="K7" s="237"/>
      <c r="L7" s="1018"/>
      <c r="M7" s="1018"/>
      <c r="N7" s="1018"/>
      <c r="O7" s="1018"/>
      <c r="P7" s="1018"/>
      <c r="Q7" s="1018"/>
      <c r="R7" s="1018"/>
      <c r="S7" s="237"/>
      <c r="T7" s="237"/>
    </row>
    <row r="8" spans="1:20" s="290" customFormat="1" ht="30.75" customHeight="1">
      <c r="A8" s="1009" t="s">
        <v>2</v>
      </c>
      <c r="B8" s="1009" t="s">
        <v>3</v>
      </c>
      <c r="C8" s="1015" t="s">
        <v>678</v>
      </c>
      <c r="D8" s="1016"/>
      <c r="E8" s="1016"/>
      <c r="F8" s="1016"/>
      <c r="G8" s="1017"/>
      <c r="H8" s="1010" t="s">
        <v>81</v>
      </c>
      <c r="I8" s="1015" t="s">
        <v>82</v>
      </c>
      <c r="J8" s="1016"/>
      <c r="K8" s="1016"/>
      <c r="L8" s="1017"/>
      <c r="M8" s="1009" t="s">
        <v>786</v>
      </c>
      <c r="N8" s="1009"/>
      <c r="O8" s="1009"/>
      <c r="P8" s="1009"/>
      <c r="Q8" s="1009"/>
      <c r="R8" s="1009"/>
      <c r="S8" s="1009" t="s">
        <v>851</v>
      </c>
      <c r="T8" s="1009"/>
    </row>
    <row r="9" spans="1:20" s="290" customFormat="1" ht="44.25" customHeight="1">
      <c r="A9" s="1009"/>
      <c r="B9" s="1009"/>
      <c r="C9" s="291" t="s">
        <v>5</v>
      </c>
      <c r="D9" s="291" t="s">
        <v>6</v>
      </c>
      <c r="E9" s="291" t="s">
        <v>353</v>
      </c>
      <c r="F9" s="292" t="s">
        <v>96</v>
      </c>
      <c r="G9" s="292" t="s">
        <v>223</v>
      </c>
      <c r="H9" s="1011"/>
      <c r="I9" s="291" t="s">
        <v>177</v>
      </c>
      <c r="J9" s="291" t="s">
        <v>110</v>
      </c>
      <c r="K9" s="291" t="s">
        <v>111</v>
      </c>
      <c r="L9" s="291" t="s">
        <v>439</v>
      </c>
      <c r="M9" s="552" t="s">
        <v>16</v>
      </c>
      <c r="N9" s="552" t="s">
        <v>804</v>
      </c>
      <c r="O9" s="552" t="s">
        <v>788</v>
      </c>
      <c r="P9" s="552" t="s">
        <v>789</v>
      </c>
      <c r="Q9" s="552" t="s">
        <v>790</v>
      </c>
      <c r="R9" s="552" t="s">
        <v>791</v>
      </c>
      <c r="S9" s="552" t="s">
        <v>1057</v>
      </c>
      <c r="T9" s="552" t="s">
        <v>1058</v>
      </c>
    </row>
    <row r="10" spans="1:20" s="228" customFormat="1" ht="12.75">
      <c r="A10" s="239">
        <v>1</v>
      </c>
      <c r="B10" s="239">
        <v>2</v>
      </c>
      <c r="C10" s="239">
        <v>3</v>
      </c>
      <c r="D10" s="239">
        <v>4</v>
      </c>
      <c r="E10" s="239">
        <v>5</v>
      </c>
      <c r="F10" s="239">
        <v>6</v>
      </c>
      <c r="G10" s="239">
        <v>7</v>
      </c>
      <c r="H10" s="239">
        <v>8</v>
      </c>
      <c r="I10" s="239">
        <v>9</v>
      </c>
      <c r="J10" s="239">
        <v>10</v>
      </c>
      <c r="K10" s="239">
        <v>11</v>
      </c>
      <c r="L10" s="239">
        <v>12</v>
      </c>
      <c r="M10" s="239">
        <v>13</v>
      </c>
      <c r="N10" s="239">
        <v>14</v>
      </c>
      <c r="O10" s="239">
        <v>15</v>
      </c>
      <c r="P10" s="239">
        <v>16</v>
      </c>
      <c r="Q10" s="239">
        <v>17</v>
      </c>
      <c r="R10" s="239">
        <v>18</v>
      </c>
      <c r="S10" s="562">
        <v>19</v>
      </c>
      <c r="T10" s="562">
        <v>20</v>
      </c>
    </row>
    <row r="11" spans="1:20" ht="17.25" customHeight="1">
      <c r="A11" s="8">
        <v>1</v>
      </c>
      <c r="B11" s="19" t="s">
        <v>473</v>
      </c>
      <c r="C11" s="348">
        <v>35876</v>
      </c>
      <c r="D11" s="348">
        <v>3068</v>
      </c>
      <c r="E11" s="348">
        <f>'enrolment vs availed_PY'!J11</f>
        <v>0</v>
      </c>
      <c r="F11" s="348">
        <v>648</v>
      </c>
      <c r="G11" s="348">
        <f>SUM(C11:F11)</f>
        <v>39592</v>
      </c>
      <c r="H11" s="241">
        <v>230</v>
      </c>
      <c r="I11" s="350">
        <f>J11+K11+L11</f>
        <v>910.6160000000001</v>
      </c>
      <c r="J11" s="350">
        <f>G11*230*0.0001</f>
        <v>910.6160000000001</v>
      </c>
      <c r="K11" s="350">
        <v>0</v>
      </c>
      <c r="L11" s="350">
        <v>0</v>
      </c>
      <c r="M11" s="350">
        <f>N11+O11+P11+Q11+R11</f>
        <v>60.971680000000006</v>
      </c>
      <c r="N11" s="350">
        <f>G11*77*0.00002</f>
        <v>60.971680000000006</v>
      </c>
      <c r="O11" s="350">
        <v>0</v>
      </c>
      <c r="P11" s="350">
        <v>0</v>
      </c>
      <c r="Q11" s="350">
        <v>0</v>
      </c>
      <c r="R11" s="350">
        <v>0</v>
      </c>
      <c r="S11" s="565">
        <v>2890</v>
      </c>
      <c r="T11" s="565">
        <f>J11*2890/100000</f>
        <v>26.316802400000004</v>
      </c>
    </row>
    <row r="12" spans="1:20" ht="17.25" customHeight="1">
      <c r="A12" s="8">
        <v>2</v>
      </c>
      <c r="B12" s="19" t="s">
        <v>474</v>
      </c>
      <c r="C12" s="348">
        <v>24427</v>
      </c>
      <c r="D12" s="348">
        <v>152</v>
      </c>
      <c r="E12" s="348">
        <f>'enrolment vs availed_PY'!J12</f>
        <v>0</v>
      </c>
      <c r="F12" s="348">
        <v>2237</v>
      </c>
      <c r="G12" s="348">
        <f aca="true" t="shared" si="0" ref="G12:G18">SUM(C12:F12)</f>
        <v>26816</v>
      </c>
      <c r="H12" s="335">
        <v>230</v>
      </c>
      <c r="I12" s="350">
        <f aca="true" t="shared" si="1" ref="I12:I18">J12+K12+L12</f>
        <v>616.768</v>
      </c>
      <c r="J12" s="350">
        <f aca="true" t="shared" si="2" ref="J12:J18">G12*230*0.0001</f>
        <v>616.768</v>
      </c>
      <c r="K12" s="350">
        <v>0</v>
      </c>
      <c r="L12" s="350">
        <v>0</v>
      </c>
      <c r="M12" s="350">
        <f aca="true" t="shared" si="3" ref="M12:M18">N12+O12+P12+Q12+R12</f>
        <v>41.296640000000004</v>
      </c>
      <c r="N12" s="350">
        <f aca="true" t="shared" si="4" ref="N12:N18">G12*77*0.00002</f>
        <v>41.296640000000004</v>
      </c>
      <c r="O12" s="350">
        <v>0</v>
      </c>
      <c r="P12" s="350">
        <v>0</v>
      </c>
      <c r="Q12" s="350">
        <v>0</v>
      </c>
      <c r="R12" s="350">
        <v>0</v>
      </c>
      <c r="S12" s="565">
        <v>2890</v>
      </c>
      <c r="T12" s="565">
        <f aca="true" t="shared" si="5" ref="T12:T18">J12*2890/100000</f>
        <v>17.8245952</v>
      </c>
    </row>
    <row r="13" spans="1:20" ht="17.25" customHeight="1">
      <c r="A13" s="8">
        <v>3</v>
      </c>
      <c r="B13" s="19" t="s">
        <v>475</v>
      </c>
      <c r="C13" s="348">
        <v>16215</v>
      </c>
      <c r="D13" s="348">
        <v>294</v>
      </c>
      <c r="E13" s="348">
        <f>'enrolment vs availed_PY'!J13</f>
        <v>0</v>
      </c>
      <c r="F13" s="348">
        <v>22</v>
      </c>
      <c r="G13" s="348">
        <f t="shared" si="0"/>
        <v>16531</v>
      </c>
      <c r="H13" s="335">
        <v>230</v>
      </c>
      <c r="I13" s="350">
        <f t="shared" si="1"/>
        <v>380.213</v>
      </c>
      <c r="J13" s="350">
        <f t="shared" si="2"/>
        <v>380.213</v>
      </c>
      <c r="K13" s="350">
        <v>0</v>
      </c>
      <c r="L13" s="350">
        <v>0</v>
      </c>
      <c r="M13" s="350">
        <f t="shared" si="3"/>
        <v>25.45774</v>
      </c>
      <c r="N13" s="350">
        <f t="shared" si="4"/>
        <v>25.45774</v>
      </c>
      <c r="O13" s="350">
        <v>0</v>
      </c>
      <c r="P13" s="350">
        <v>0</v>
      </c>
      <c r="Q13" s="350">
        <v>0</v>
      </c>
      <c r="R13" s="350">
        <v>0</v>
      </c>
      <c r="S13" s="565">
        <v>2890</v>
      </c>
      <c r="T13" s="565">
        <f t="shared" si="5"/>
        <v>10.9881557</v>
      </c>
    </row>
    <row r="14" spans="1:20" ht="17.25" customHeight="1">
      <c r="A14" s="8">
        <v>4</v>
      </c>
      <c r="B14" s="19" t="s">
        <v>476</v>
      </c>
      <c r="C14" s="348">
        <v>23254</v>
      </c>
      <c r="D14" s="348">
        <v>363</v>
      </c>
      <c r="E14" s="348">
        <f>'enrolment vs availed_PY'!J14</f>
        <v>0</v>
      </c>
      <c r="F14" s="348">
        <v>256</v>
      </c>
      <c r="G14" s="348">
        <f t="shared" si="0"/>
        <v>23873</v>
      </c>
      <c r="H14" s="335">
        <v>230</v>
      </c>
      <c r="I14" s="350">
        <f t="shared" si="1"/>
        <v>549.0790000000001</v>
      </c>
      <c r="J14" s="350">
        <f t="shared" si="2"/>
        <v>549.0790000000001</v>
      </c>
      <c r="K14" s="350">
        <v>0</v>
      </c>
      <c r="L14" s="350">
        <v>0</v>
      </c>
      <c r="M14" s="350">
        <f t="shared" si="3"/>
        <v>36.76442</v>
      </c>
      <c r="N14" s="350">
        <f t="shared" si="4"/>
        <v>36.76442</v>
      </c>
      <c r="O14" s="350">
        <v>0</v>
      </c>
      <c r="P14" s="350">
        <v>0</v>
      </c>
      <c r="Q14" s="350">
        <v>0</v>
      </c>
      <c r="R14" s="350">
        <v>0</v>
      </c>
      <c r="S14" s="565">
        <v>2890</v>
      </c>
      <c r="T14" s="565">
        <f t="shared" si="5"/>
        <v>15.868383100000003</v>
      </c>
    </row>
    <row r="15" spans="1:20" ht="17.25" customHeight="1">
      <c r="A15" s="8">
        <v>5</v>
      </c>
      <c r="B15" s="19" t="s">
        <v>477</v>
      </c>
      <c r="C15" s="348">
        <v>24400</v>
      </c>
      <c r="D15" s="348">
        <v>0</v>
      </c>
      <c r="E15" s="348">
        <f>'enrolment vs availed_PY'!J15</f>
        <v>0</v>
      </c>
      <c r="F15" s="348">
        <v>64</v>
      </c>
      <c r="G15" s="348">
        <f t="shared" si="0"/>
        <v>24464</v>
      </c>
      <c r="H15" s="335">
        <v>230</v>
      </c>
      <c r="I15" s="350">
        <f t="shared" si="1"/>
        <v>562.672</v>
      </c>
      <c r="J15" s="350">
        <f t="shared" si="2"/>
        <v>562.672</v>
      </c>
      <c r="K15" s="350">
        <v>0</v>
      </c>
      <c r="L15" s="350">
        <v>0</v>
      </c>
      <c r="M15" s="350">
        <f t="shared" si="3"/>
        <v>37.67456</v>
      </c>
      <c r="N15" s="350">
        <f t="shared" si="4"/>
        <v>37.67456</v>
      </c>
      <c r="O15" s="350">
        <v>0</v>
      </c>
      <c r="P15" s="350">
        <v>0</v>
      </c>
      <c r="Q15" s="350">
        <v>0</v>
      </c>
      <c r="R15" s="350">
        <v>0</v>
      </c>
      <c r="S15" s="565">
        <v>2890</v>
      </c>
      <c r="T15" s="565">
        <f t="shared" si="5"/>
        <v>16.2612208</v>
      </c>
    </row>
    <row r="16" spans="1:20" ht="17.25" customHeight="1">
      <c r="A16" s="8">
        <v>6</v>
      </c>
      <c r="B16" s="19" t="s">
        <v>478</v>
      </c>
      <c r="C16" s="348">
        <v>16798</v>
      </c>
      <c r="D16" s="348">
        <v>312</v>
      </c>
      <c r="E16" s="348">
        <f>'enrolment vs availed_PY'!J16</f>
        <v>0</v>
      </c>
      <c r="F16" s="348">
        <v>1731</v>
      </c>
      <c r="G16" s="348">
        <f t="shared" si="0"/>
        <v>18841</v>
      </c>
      <c r="H16" s="335">
        <v>230</v>
      </c>
      <c r="I16" s="350">
        <f t="shared" si="1"/>
        <v>433.343</v>
      </c>
      <c r="J16" s="350">
        <f t="shared" si="2"/>
        <v>433.343</v>
      </c>
      <c r="K16" s="350">
        <v>0</v>
      </c>
      <c r="L16" s="350">
        <v>0</v>
      </c>
      <c r="M16" s="350">
        <f t="shared" si="3"/>
        <v>29.015140000000002</v>
      </c>
      <c r="N16" s="350">
        <f t="shared" si="4"/>
        <v>29.015140000000002</v>
      </c>
      <c r="O16" s="350">
        <v>0</v>
      </c>
      <c r="P16" s="350">
        <v>0</v>
      </c>
      <c r="Q16" s="350">
        <v>0</v>
      </c>
      <c r="R16" s="350">
        <v>0</v>
      </c>
      <c r="S16" s="565">
        <v>2890</v>
      </c>
      <c r="T16" s="565">
        <f t="shared" si="5"/>
        <v>12.523612700000001</v>
      </c>
    </row>
    <row r="17" spans="1:20" ht="17.25" customHeight="1">
      <c r="A17" s="8">
        <v>7</v>
      </c>
      <c r="B17" s="19" t="s">
        <v>479</v>
      </c>
      <c r="C17" s="348">
        <v>30066</v>
      </c>
      <c r="D17" s="348">
        <v>51</v>
      </c>
      <c r="E17" s="348">
        <f>'enrolment vs availed_PY'!J17</f>
        <v>0</v>
      </c>
      <c r="F17" s="348">
        <v>899</v>
      </c>
      <c r="G17" s="348">
        <f t="shared" si="0"/>
        <v>31016</v>
      </c>
      <c r="H17" s="335">
        <v>230</v>
      </c>
      <c r="I17" s="350">
        <f t="shared" si="1"/>
        <v>713.368</v>
      </c>
      <c r="J17" s="350">
        <f t="shared" si="2"/>
        <v>713.368</v>
      </c>
      <c r="K17" s="350">
        <v>0</v>
      </c>
      <c r="L17" s="350">
        <v>0</v>
      </c>
      <c r="M17" s="350">
        <f t="shared" si="3"/>
        <v>47.76464000000001</v>
      </c>
      <c r="N17" s="350">
        <f t="shared" si="4"/>
        <v>47.76464000000001</v>
      </c>
      <c r="O17" s="350">
        <v>0</v>
      </c>
      <c r="P17" s="350">
        <v>0</v>
      </c>
      <c r="Q17" s="350">
        <v>0</v>
      </c>
      <c r="R17" s="350">
        <v>0</v>
      </c>
      <c r="S17" s="565">
        <v>2890</v>
      </c>
      <c r="T17" s="565">
        <f t="shared" si="5"/>
        <v>20.6163352</v>
      </c>
    </row>
    <row r="18" spans="1:20" ht="17.25" customHeight="1">
      <c r="A18" s="8">
        <v>8</v>
      </c>
      <c r="B18" s="19" t="s">
        <v>480</v>
      </c>
      <c r="C18" s="348">
        <v>28832</v>
      </c>
      <c r="D18" s="348">
        <v>0</v>
      </c>
      <c r="E18" s="348">
        <f>'enrolment vs availed_PY'!J18</f>
        <v>0</v>
      </c>
      <c r="F18" s="348">
        <v>70</v>
      </c>
      <c r="G18" s="348">
        <f t="shared" si="0"/>
        <v>28902</v>
      </c>
      <c r="H18" s="335">
        <v>230</v>
      </c>
      <c r="I18" s="350">
        <f t="shared" si="1"/>
        <v>664.746</v>
      </c>
      <c r="J18" s="350">
        <f t="shared" si="2"/>
        <v>664.746</v>
      </c>
      <c r="K18" s="350">
        <v>0</v>
      </c>
      <c r="L18" s="350">
        <v>0</v>
      </c>
      <c r="M18" s="350">
        <f t="shared" si="3"/>
        <v>44.509080000000004</v>
      </c>
      <c r="N18" s="350">
        <f t="shared" si="4"/>
        <v>44.509080000000004</v>
      </c>
      <c r="O18" s="350">
        <v>0</v>
      </c>
      <c r="P18" s="350">
        <v>0</v>
      </c>
      <c r="Q18" s="350">
        <v>0</v>
      </c>
      <c r="R18" s="350">
        <v>0</v>
      </c>
      <c r="S18" s="565">
        <v>2890</v>
      </c>
      <c r="T18" s="565">
        <f t="shared" si="5"/>
        <v>19.2111594</v>
      </c>
    </row>
    <row r="19" spans="1:20" ht="17.25" customHeight="1">
      <c r="A19" s="3"/>
      <c r="B19" s="27" t="s">
        <v>481</v>
      </c>
      <c r="C19" s="348">
        <f>SUM(C11:C18)</f>
        <v>199868</v>
      </c>
      <c r="D19" s="348">
        <f>SUM(D11:D18)</f>
        <v>4240</v>
      </c>
      <c r="E19" s="348">
        <f>SUM(E11:E18)</f>
        <v>0</v>
      </c>
      <c r="F19" s="348">
        <f>SUM(F11:F18)</f>
        <v>5927</v>
      </c>
      <c r="G19" s="348">
        <f>SUM(G11:G18)</f>
        <v>210035</v>
      </c>
      <c r="H19" s="241"/>
      <c r="I19" s="350">
        <f>SUM(I11:I18)</f>
        <v>4830.805</v>
      </c>
      <c r="J19" s="350">
        <f aca="true" t="shared" si="6" ref="J19:T19">SUM(J11:J18)</f>
        <v>4830.805</v>
      </c>
      <c r="K19" s="350">
        <f t="shared" si="6"/>
        <v>0</v>
      </c>
      <c r="L19" s="350">
        <f t="shared" si="6"/>
        <v>0</v>
      </c>
      <c r="M19" s="350">
        <f t="shared" si="6"/>
        <v>323.45390000000003</v>
      </c>
      <c r="N19" s="350">
        <f t="shared" si="6"/>
        <v>323.45390000000003</v>
      </c>
      <c r="O19" s="350">
        <f t="shared" si="6"/>
        <v>0</v>
      </c>
      <c r="P19" s="350">
        <f t="shared" si="6"/>
        <v>0</v>
      </c>
      <c r="Q19" s="350">
        <f t="shared" si="6"/>
        <v>0</v>
      </c>
      <c r="R19" s="350">
        <f t="shared" si="6"/>
        <v>0</v>
      </c>
      <c r="S19" s="350">
        <v>2890</v>
      </c>
      <c r="T19" s="350">
        <f t="shared" si="6"/>
        <v>139.61026450000003</v>
      </c>
    </row>
    <row r="20" spans="1:22" ht="12.75">
      <c r="A20" s="242"/>
      <c r="B20" s="242"/>
      <c r="C20" s="242"/>
      <c r="D20" s="583"/>
      <c r="E20" s="583"/>
      <c r="F20" s="583"/>
      <c r="G20" s="242"/>
      <c r="H20" s="242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V20" s="226" t="s">
        <v>11</v>
      </c>
    </row>
    <row r="21" spans="1:20" ht="12.75">
      <c r="A21" s="243" t="s">
        <v>8</v>
      </c>
      <c r="B21" s="478"/>
      <c r="C21" s="478"/>
      <c r="D21" s="583"/>
      <c r="E21" s="583"/>
      <c r="F21" s="583"/>
      <c r="G21" s="242"/>
      <c r="H21" s="242"/>
      <c r="I21" s="237"/>
      <c r="J21" s="237"/>
      <c r="K21" s="237"/>
      <c r="L21" s="237"/>
      <c r="M21" s="237"/>
      <c r="N21" s="237" t="s">
        <v>11</v>
      </c>
      <c r="O21" s="237"/>
      <c r="P21" s="237"/>
      <c r="Q21" s="237"/>
      <c r="R21" s="237"/>
      <c r="S21" s="237"/>
      <c r="T21" s="237"/>
    </row>
    <row r="22" spans="1:20" ht="12.75">
      <c r="A22" s="244" t="s">
        <v>9</v>
      </c>
      <c r="B22" s="244"/>
      <c r="C22" s="244"/>
      <c r="D22" s="583"/>
      <c r="E22" s="583"/>
      <c r="F22" s="583"/>
      <c r="G22" s="237" t="s">
        <v>11</v>
      </c>
      <c r="I22" s="237"/>
      <c r="J22" s="237"/>
      <c r="K22" s="237"/>
      <c r="L22" s="237"/>
      <c r="M22" s="237"/>
      <c r="N22" s="237"/>
      <c r="O22" s="237"/>
      <c r="P22" s="237" t="s">
        <v>11</v>
      </c>
      <c r="Q22" s="237"/>
      <c r="R22" s="237"/>
      <c r="S22" s="237"/>
      <c r="T22" s="237"/>
    </row>
    <row r="23" spans="1:20" ht="12.75">
      <c r="A23" s="244" t="s">
        <v>10</v>
      </c>
      <c r="B23" s="244"/>
      <c r="C23" s="244"/>
      <c r="D23" s="583"/>
      <c r="E23" s="583"/>
      <c r="F23" s="583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</row>
    <row r="24" spans="1:20" ht="12.75">
      <c r="A24" s="244"/>
      <c r="B24" s="244"/>
      <c r="C24" s="244"/>
      <c r="D24" s="583"/>
      <c r="E24" s="583"/>
      <c r="F24" s="583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</row>
    <row r="25" spans="1:20" ht="12.75" customHeight="1">
      <c r="A25" s="244" t="s">
        <v>12</v>
      </c>
      <c r="D25" s="583"/>
      <c r="E25" s="583"/>
      <c r="F25" s="583"/>
      <c r="H25" s="244"/>
      <c r="I25" s="237"/>
      <c r="J25" s="244"/>
      <c r="K25" s="244"/>
      <c r="L25" s="244"/>
      <c r="M25" s="244"/>
      <c r="N25" s="244"/>
      <c r="O25" s="1008"/>
      <c r="P25" s="1008"/>
      <c r="Q25" s="1008"/>
      <c r="R25" s="1008"/>
      <c r="S25" s="237"/>
      <c r="T25" s="237"/>
    </row>
    <row r="26" spans="4:20" ht="12.75" customHeight="1">
      <c r="D26" s="583"/>
      <c r="E26" s="583"/>
      <c r="F26" s="583"/>
      <c r="I26" s="244"/>
      <c r="J26" s="237"/>
      <c r="K26" s="293"/>
      <c r="L26" s="293"/>
      <c r="M26" s="293"/>
      <c r="N26" s="293"/>
      <c r="O26" s="1005" t="s">
        <v>1062</v>
      </c>
      <c r="P26" s="1005"/>
      <c r="Q26" s="1005"/>
      <c r="R26" s="1005"/>
      <c r="S26" s="1005"/>
      <c r="T26" s="237"/>
    </row>
    <row r="27" spans="4:20" ht="12.75" customHeight="1">
      <c r="D27" s="583"/>
      <c r="E27" s="583"/>
      <c r="F27" s="583"/>
      <c r="I27" s="237"/>
      <c r="J27" s="293"/>
      <c r="K27" s="293"/>
      <c r="L27" s="293"/>
      <c r="M27" s="293"/>
      <c r="N27" s="293"/>
      <c r="O27" s="1005" t="s">
        <v>484</v>
      </c>
      <c r="P27" s="1005"/>
      <c r="Q27" s="1005"/>
      <c r="R27" s="1005"/>
      <c r="S27" s="1005"/>
      <c r="T27" s="237"/>
    </row>
    <row r="28" spans="1:20" ht="12.75">
      <c r="A28" s="244"/>
      <c r="B28" s="244"/>
      <c r="D28" s="583"/>
      <c r="E28" s="583"/>
      <c r="F28" s="583"/>
      <c r="I28" s="237"/>
      <c r="J28" s="244"/>
      <c r="K28" s="244"/>
      <c r="L28" s="244"/>
      <c r="M28" s="244"/>
      <c r="N28" s="244"/>
      <c r="O28" s="244"/>
      <c r="P28" s="416" t="s">
        <v>80</v>
      </c>
      <c r="Q28" s="416"/>
      <c r="R28" s="417"/>
      <c r="S28" s="237"/>
      <c r="T28" s="237"/>
    </row>
    <row r="29" spans="3:6" ht="12.75">
      <c r="C29" s="550"/>
      <c r="D29" s="550"/>
      <c r="E29" s="550"/>
      <c r="F29" s="550"/>
    </row>
  </sheetData>
  <sheetProtection/>
  <mergeCells count="18">
    <mergeCell ref="Q1:R1"/>
    <mergeCell ref="A4:P5"/>
    <mergeCell ref="A2:R2"/>
    <mergeCell ref="G1:I1"/>
    <mergeCell ref="I8:L8"/>
    <mergeCell ref="S8:T8"/>
    <mergeCell ref="L7:R7"/>
    <mergeCell ref="A8:A9"/>
    <mergeCell ref="B8:B9"/>
    <mergeCell ref="C8:G8"/>
    <mergeCell ref="O26:S26"/>
    <mergeCell ref="O27:S27"/>
    <mergeCell ref="A3:R3"/>
    <mergeCell ref="A6:R6"/>
    <mergeCell ref="O25:R25"/>
    <mergeCell ref="M8:R8"/>
    <mergeCell ref="H8:H9"/>
    <mergeCell ref="A7:B7"/>
  </mergeCells>
  <printOptions horizontalCentered="1"/>
  <pageMargins left="0.51" right="0.21" top="1.13" bottom="0" header="0.78" footer="0.31496062992125984"/>
  <pageSetup fitToHeight="1" fitToWidth="1" horizontalDpi="600" verticalDpi="600" orientation="landscape" paperSize="9" scale="75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view="pageBreakPreview" zoomScaleSheetLayoutView="100" zoomScalePageLayoutView="0" workbookViewId="0" topLeftCell="A1">
      <selection activeCell="H19" sqref="H19"/>
    </sheetView>
  </sheetViews>
  <sheetFormatPr defaultColWidth="9.140625" defaultRowHeight="12.75"/>
  <cols>
    <col min="1" max="1" width="5.57421875" style="237" customWidth="1"/>
    <col min="2" max="2" width="11.00390625" style="237" customWidth="1"/>
    <col min="3" max="3" width="10.28125" style="237" customWidth="1"/>
    <col min="4" max="4" width="8.421875" style="237" customWidth="1"/>
    <col min="5" max="6" width="9.8515625" style="237" customWidth="1"/>
    <col min="7" max="7" width="10.8515625" style="237" customWidth="1"/>
    <col min="8" max="8" width="12.8515625" style="237" customWidth="1"/>
    <col min="9" max="9" width="8.7109375" style="226" customWidth="1"/>
    <col min="10" max="11" width="8.00390625" style="226" customWidth="1"/>
    <col min="12" max="14" width="8.140625" style="226" customWidth="1"/>
    <col min="15" max="18" width="8.28125" style="226" customWidth="1"/>
    <col min="19" max="19" width="11.421875" style="226" customWidth="1"/>
    <col min="20" max="20" width="13.57421875" style="226" customWidth="1"/>
    <col min="21" max="16384" width="9.140625" style="226" customWidth="1"/>
  </cols>
  <sheetData>
    <row r="1" spans="7:20" ht="15">
      <c r="G1" s="1014"/>
      <c r="H1" s="1014"/>
      <c r="I1" s="1014"/>
      <c r="J1" s="237"/>
      <c r="K1" s="237"/>
      <c r="L1" s="237"/>
      <c r="M1" s="237"/>
      <c r="N1" s="237"/>
      <c r="O1" s="237"/>
      <c r="P1" s="237"/>
      <c r="Q1" s="770" t="s">
        <v>737</v>
      </c>
      <c r="R1" s="770"/>
      <c r="S1" s="237"/>
      <c r="T1" s="237"/>
    </row>
    <row r="2" spans="1:20" ht="15.75">
      <c r="A2" s="1013" t="s">
        <v>0</v>
      </c>
      <c r="B2" s="1013"/>
      <c r="C2" s="1013"/>
      <c r="D2" s="1013"/>
      <c r="E2" s="1013"/>
      <c r="F2" s="1013"/>
      <c r="G2" s="1013"/>
      <c r="H2" s="1013"/>
      <c r="I2" s="1013"/>
      <c r="J2" s="1013"/>
      <c r="K2" s="1013"/>
      <c r="L2" s="1013"/>
      <c r="M2" s="1013"/>
      <c r="N2" s="1013"/>
      <c r="O2" s="1013"/>
      <c r="P2" s="1013"/>
      <c r="Q2" s="1013"/>
      <c r="R2" s="1013"/>
      <c r="S2" s="237"/>
      <c r="T2" s="237"/>
    </row>
    <row r="3" spans="1:20" ht="18">
      <c r="A3" s="1006" t="s">
        <v>878</v>
      </c>
      <c r="B3" s="1006"/>
      <c r="C3" s="1006"/>
      <c r="D3" s="1006"/>
      <c r="E3" s="1006"/>
      <c r="F3" s="1006"/>
      <c r="G3" s="1006"/>
      <c r="H3" s="1006"/>
      <c r="I3" s="1006"/>
      <c r="J3" s="1006"/>
      <c r="K3" s="1006"/>
      <c r="L3" s="1006"/>
      <c r="M3" s="1006"/>
      <c r="N3" s="1006"/>
      <c r="O3" s="1006"/>
      <c r="P3" s="1006"/>
      <c r="Q3" s="1006"/>
      <c r="R3" s="1006"/>
      <c r="S3" s="237"/>
      <c r="T3" s="237"/>
    </row>
    <row r="4" spans="1:20" ht="12.75" customHeight="1">
      <c r="A4" s="1012" t="s">
        <v>954</v>
      </c>
      <c r="B4" s="1012"/>
      <c r="C4" s="1012"/>
      <c r="D4" s="1012"/>
      <c r="E4" s="1012"/>
      <c r="F4" s="1012"/>
      <c r="G4" s="1012"/>
      <c r="H4" s="1012"/>
      <c r="I4" s="1012"/>
      <c r="J4" s="1012"/>
      <c r="K4" s="1012"/>
      <c r="L4" s="1012"/>
      <c r="M4" s="1012"/>
      <c r="N4" s="1012"/>
      <c r="O4" s="1012"/>
      <c r="P4" s="1012"/>
      <c r="Q4" s="237"/>
      <c r="R4" s="237"/>
      <c r="S4" s="237"/>
      <c r="T4" s="237"/>
    </row>
    <row r="5" spans="1:20" s="227" customFormat="1" ht="7.5" customHeight="1">
      <c r="A5" s="1012"/>
      <c r="B5" s="1012"/>
      <c r="C5" s="1012"/>
      <c r="D5" s="1012"/>
      <c r="E5" s="1012"/>
      <c r="F5" s="1012"/>
      <c r="G5" s="1012"/>
      <c r="H5" s="1012"/>
      <c r="I5" s="1012"/>
      <c r="J5" s="1012"/>
      <c r="K5" s="1012"/>
      <c r="L5" s="1012"/>
      <c r="M5" s="1012"/>
      <c r="N5" s="1012"/>
      <c r="O5" s="1012"/>
      <c r="P5" s="1012"/>
      <c r="Q5" s="245"/>
      <c r="R5" s="245"/>
      <c r="S5" s="249"/>
      <c r="T5" s="249"/>
    </row>
    <row r="6" spans="1:20" ht="12.75">
      <c r="A6" s="1007"/>
      <c r="B6" s="1007"/>
      <c r="C6" s="1007"/>
      <c r="D6" s="1007"/>
      <c r="E6" s="1007"/>
      <c r="F6" s="1007"/>
      <c r="G6" s="1007"/>
      <c r="H6" s="1007"/>
      <c r="I6" s="1007"/>
      <c r="J6" s="1007"/>
      <c r="K6" s="1007"/>
      <c r="L6" s="1007"/>
      <c r="M6" s="1007"/>
      <c r="N6" s="1007"/>
      <c r="O6" s="1007"/>
      <c r="P6" s="1007"/>
      <c r="Q6" s="1007"/>
      <c r="R6" s="1007"/>
      <c r="S6" s="237"/>
      <c r="T6" s="237"/>
    </row>
    <row r="7" spans="1:20" ht="12.75">
      <c r="A7" s="668" t="s">
        <v>472</v>
      </c>
      <c r="B7" s="668"/>
      <c r="H7" s="246"/>
      <c r="I7" s="237"/>
      <c r="J7" s="237"/>
      <c r="K7" s="237"/>
      <c r="L7" s="1018"/>
      <c r="M7" s="1018"/>
      <c r="N7" s="1018"/>
      <c r="O7" s="1018"/>
      <c r="P7" s="1018"/>
      <c r="Q7" s="1018"/>
      <c r="R7" s="1018"/>
      <c r="S7" s="237"/>
      <c r="T7" s="237"/>
    </row>
    <row r="8" spans="1:20" s="401" customFormat="1" ht="30.75" customHeight="1">
      <c r="A8" s="1009" t="s">
        <v>2</v>
      </c>
      <c r="B8" s="1009" t="s">
        <v>3</v>
      </c>
      <c r="C8" s="1015" t="s">
        <v>678</v>
      </c>
      <c r="D8" s="1016"/>
      <c r="E8" s="1016"/>
      <c r="F8" s="1016"/>
      <c r="G8" s="1017"/>
      <c r="H8" s="1010" t="s">
        <v>81</v>
      </c>
      <c r="I8" s="1015" t="s">
        <v>792</v>
      </c>
      <c r="J8" s="1016"/>
      <c r="K8" s="1016"/>
      <c r="L8" s="1017"/>
      <c r="M8" s="1015" t="s">
        <v>786</v>
      </c>
      <c r="N8" s="1016"/>
      <c r="O8" s="1016"/>
      <c r="P8" s="1016"/>
      <c r="Q8" s="1016"/>
      <c r="R8" s="1016"/>
      <c r="S8" s="1009" t="s">
        <v>851</v>
      </c>
      <c r="T8" s="1009"/>
    </row>
    <row r="9" spans="1:20" s="401" customFormat="1" ht="44.25" customHeight="1">
      <c r="A9" s="1009"/>
      <c r="B9" s="1009"/>
      <c r="C9" s="397" t="s">
        <v>5</v>
      </c>
      <c r="D9" s="397" t="s">
        <v>6</v>
      </c>
      <c r="E9" s="397" t="s">
        <v>353</v>
      </c>
      <c r="F9" s="396" t="s">
        <v>96</v>
      </c>
      <c r="G9" s="396" t="s">
        <v>223</v>
      </c>
      <c r="H9" s="1011"/>
      <c r="I9" s="397" t="s">
        <v>177</v>
      </c>
      <c r="J9" s="397" t="s">
        <v>110</v>
      </c>
      <c r="K9" s="397" t="s">
        <v>111</v>
      </c>
      <c r="L9" s="397" t="s">
        <v>439</v>
      </c>
      <c r="M9" s="533" t="s">
        <v>16</v>
      </c>
      <c r="N9" s="533" t="s">
        <v>804</v>
      </c>
      <c r="O9" s="533" t="s">
        <v>788</v>
      </c>
      <c r="P9" s="533" t="s">
        <v>789</v>
      </c>
      <c r="Q9" s="533" t="s">
        <v>790</v>
      </c>
      <c r="R9" s="533" t="s">
        <v>791</v>
      </c>
      <c r="S9" s="552" t="s">
        <v>1059</v>
      </c>
      <c r="T9" s="552" t="s">
        <v>1060</v>
      </c>
    </row>
    <row r="10" spans="1:20" s="228" customFormat="1" ht="12.75">
      <c r="A10" s="239">
        <v>1</v>
      </c>
      <c r="B10" s="239">
        <v>2</v>
      </c>
      <c r="C10" s="239">
        <v>3</v>
      </c>
      <c r="D10" s="239">
        <v>4</v>
      </c>
      <c r="E10" s="239">
        <v>5</v>
      </c>
      <c r="F10" s="239">
        <v>6</v>
      </c>
      <c r="G10" s="239">
        <v>7</v>
      </c>
      <c r="H10" s="239">
        <v>8</v>
      </c>
      <c r="I10" s="239">
        <v>9</v>
      </c>
      <c r="J10" s="239">
        <v>10</v>
      </c>
      <c r="K10" s="239">
        <v>11</v>
      </c>
      <c r="L10" s="239">
        <v>12</v>
      </c>
      <c r="M10" s="533">
        <v>13</v>
      </c>
      <c r="N10" s="533">
        <v>14</v>
      </c>
      <c r="O10" s="533">
        <v>15</v>
      </c>
      <c r="P10" s="533">
        <v>16</v>
      </c>
      <c r="Q10" s="533">
        <v>17</v>
      </c>
      <c r="R10" s="533">
        <v>18</v>
      </c>
      <c r="S10" s="562">
        <v>19</v>
      </c>
      <c r="T10" s="562">
        <v>20</v>
      </c>
    </row>
    <row r="11" spans="1:20" ht="15.75" customHeight="1">
      <c r="A11" s="8">
        <v>1</v>
      </c>
      <c r="B11" s="19" t="s">
        <v>473</v>
      </c>
      <c r="C11" s="348">
        <v>21668</v>
      </c>
      <c r="D11" s="348">
        <v>2919</v>
      </c>
      <c r="E11" s="348">
        <f>'enrolment vs availed_UPY'!J11</f>
        <v>0</v>
      </c>
      <c r="F11" s="348">
        <v>0</v>
      </c>
      <c r="G11" s="348">
        <f>SUM(C11:F11)</f>
        <v>24587</v>
      </c>
      <c r="H11" s="335">
        <v>230</v>
      </c>
      <c r="I11" s="350">
        <f>J11+K11+L11</f>
        <v>848.2515</v>
      </c>
      <c r="J11" s="350">
        <f>G11*230*0.00015</f>
        <v>848.2515</v>
      </c>
      <c r="K11" s="350">
        <v>0</v>
      </c>
      <c r="L11" s="350">
        <v>0</v>
      </c>
      <c r="M11" s="350">
        <f>N11+O11+P11+Q11+R11</f>
        <v>56.795970000000004</v>
      </c>
      <c r="N11" s="350">
        <f>G11*77*0.00003</f>
        <v>56.795970000000004</v>
      </c>
      <c r="O11" s="350">
        <v>0</v>
      </c>
      <c r="P11" s="350">
        <v>0</v>
      </c>
      <c r="Q11" s="350">
        <v>0</v>
      </c>
      <c r="R11" s="350">
        <v>0</v>
      </c>
      <c r="S11" s="565">
        <v>2890</v>
      </c>
      <c r="T11" s="565">
        <f>J11*2890/100000</f>
        <v>24.51446835</v>
      </c>
    </row>
    <row r="12" spans="1:20" ht="15.75" customHeight="1">
      <c r="A12" s="8">
        <v>2</v>
      </c>
      <c r="B12" s="19" t="s">
        <v>474</v>
      </c>
      <c r="C12" s="348">
        <v>16665</v>
      </c>
      <c r="D12" s="348">
        <v>0</v>
      </c>
      <c r="E12" s="348">
        <f>'enrolment vs availed_UPY'!J12</f>
        <v>0</v>
      </c>
      <c r="F12" s="348">
        <v>263</v>
      </c>
      <c r="G12" s="348">
        <f aca="true" t="shared" si="0" ref="G12:G18">SUM(C12:F12)</f>
        <v>16928</v>
      </c>
      <c r="H12" s="335">
        <v>230</v>
      </c>
      <c r="I12" s="350">
        <f aca="true" t="shared" si="1" ref="I12:I18">J12+K12+L12</f>
        <v>584.016</v>
      </c>
      <c r="J12" s="350">
        <f aca="true" t="shared" si="2" ref="J12:J18">G12*230*0.00015</f>
        <v>584.016</v>
      </c>
      <c r="K12" s="350">
        <v>0</v>
      </c>
      <c r="L12" s="350">
        <v>0</v>
      </c>
      <c r="M12" s="350">
        <f aca="true" t="shared" si="3" ref="M12:M18">N12+O12+P12+Q12+R12</f>
        <v>39.103680000000004</v>
      </c>
      <c r="N12" s="350">
        <f aca="true" t="shared" si="4" ref="N12:N18">G12*77*0.00003</f>
        <v>39.103680000000004</v>
      </c>
      <c r="O12" s="350">
        <v>0</v>
      </c>
      <c r="P12" s="350">
        <v>0</v>
      </c>
      <c r="Q12" s="350">
        <v>0</v>
      </c>
      <c r="R12" s="350">
        <v>0</v>
      </c>
      <c r="S12" s="565">
        <v>2890</v>
      </c>
      <c r="T12" s="565">
        <f aca="true" t="shared" si="5" ref="T12:T18">J12*2890/100000</f>
        <v>16.8780624</v>
      </c>
    </row>
    <row r="13" spans="1:20" ht="15.75" customHeight="1">
      <c r="A13" s="8">
        <v>3</v>
      </c>
      <c r="B13" s="19" t="s">
        <v>475</v>
      </c>
      <c r="C13" s="348">
        <v>10284</v>
      </c>
      <c r="D13" s="348">
        <v>139</v>
      </c>
      <c r="E13" s="348">
        <f>'enrolment vs availed_UPY'!J13</f>
        <v>0</v>
      </c>
      <c r="F13" s="348">
        <v>0</v>
      </c>
      <c r="G13" s="348">
        <f t="shared" si="0"/>
        <v>10423</v>
      </c>
      <c r="H13" s="335">
        <v>230</v>
      </c>
      <c r="I13" s="350">
        <f t="shared" si="1"/>
        <v>359.59349999999995</v>
      </c>
      <c r="J13" s="350">
        <f t="shared" si="2"/>
        <v>359.59349999999995</v>
      </c>
      <c r="K13" s="350">
        <v>0</v>
      </c>
      <c r="L13" s="350">
        <v>0</v>
      </c>
      <c r="M13" s="350">
        <f t="shared" si="3"/>
        <v>24.07713</v>
      </c>
      <c r="N13" s="350">
        <f t="shared" si="4"/>
        <v>24.07713</v>
      </c>
      <c r="O13" s="350">
        <v>0</v>
      </c>
      <c r="P13" s="350">
        <v>0</v>
      </c>
      <c r="Q13" s="350">
        <v>0</v>
      </c>
      <c r="R13" s="350">
        <v>0</v>
      </c>
      <c r="S13" s="565">
        <v>2890</v>
      </c>
      <c r="T13" s="565">
        <f t="shared" si="5"/>
        <v>10.39225215</v>
      </c>
    </row>
    <row r="14" spans="1:20" ht="15.75" customHeight="1">
      <c r="A14" s="8">
        <v>4</v>
      </c>
      <c r="B14" s="19" t="s">
        <v>476</v>
      </c>
      <c r="C14" s="348">
        <v>14507</v>
      </c>
      <c r="D14" s="348">
        <v>291</v>
      </c>
      <c r="E14" s="348">
        <f>'enrolment vs availed_UPY'!J14</f>
        <v>0</v>
      </c>
      <c r="F14" s="348">
        <v>30</v>
      </c>
      <c r="G14" s="348">
        <f t="shared" si="0"/>
        <v>14828</v>
      </c>
      <c r="H14" s="335">
        <v>230</v>
      </c>
      <c r="I14" s="350">
        <f t="shared" si="1"/>
        <v>511.566</v>
      </c>
      <c r="J14" s="350">
        <f t="shared" si="2"/>
        <v>511.566</v>
      </c>
      <c r="K14" s="350">
        <v>0</v>
      </c>
      <c r="L14" s="350">
        <v>0</v>
      </c>
      <c r="M14" s="350">
        <f t="shared" si="3"/>
        <v>34.25268</v>
      </c>
      <c r="N14" s="350">
        <f t="shared" si="4"/>
        <v>34.25268</v>
      </c>
      <c r="O14" s="350">
        <v>0</v>
      </c>
      <c r="P14" s="350">
        <v>0</v>
      </c>
      <c r="Q14" s="350">
        <v>0</v>
      </c>
      <c r="R14" s="350">
        <v>0</v>
      </c>
      <c r="S14" s="565">
        <v>2890</v>
      </c>
      <c r="T14" s="565">
        <f t="shared" si="5"/>
        <v>14.7842574</v>
      </c>
    </row>
    <row r="15" spans="1:20" ht="15.75" customHeight="1">
      <c r="A15" s="8">
        <v>5</v>
      </c>
      <c r="B15" s="19" t="s">
        <v>477</v>
      </c>
      <c r="C15" s="348">
        <v>16101</v>
      </c>
      <c r="D15" s="348">
        <v>295</v>
      </c>
      <c r="E15" s="348">
        <f>'enrolment vs availed_UPY'!J15</f>
        <v>0</v>
      </c>
      <c r="F15" s="348">
        <v>0</v>
      </c>
      <c r="G15" s="348">
        <f t="shared" si="0"/>
        <v>16396</v>
      </c>
      <c r="H15" s="335">
        <v>230</v>
      </c>
      <c r="I15" s="350">
        <f t="shared" si="1"/>
        <v>565.6619999999999</v>
      </c>
      <c r="J15" s="350">
        <f t="shared" si="2"/>
        <v>565.6619999999999</v>
      </c>
      <c r="K15" s="350">
        <v>0</v>
      </c>
      <c r="L15" s="350">
        <v>0</v>
      </c>
      <c r="M15" s="350">
        <f t="shared" si="3"/>
        <v>37.87476</v>
      </c>
      <c r="N15" s="350">
        <f t="shared" si="4"/>
        <v>37.87476</v>
      </c>
      <c r="O15" s="350">
        <v>0</v>
      </c>
      <c r="P15" s="350">
        <v>0</v>
      </c>
      <c r="Q15" s="350">
        <v>0</v>
      </c>
      <c r="R15" s="350">
        <v>0</v>
      </c>
      <c r="S15" s="565">
        <v>2890</v>
      </c>
      <c r="T15" s="565">
        <f t="shared" si="5"/>
        <v>16.3476318</v>
      </c>
    </row>
    <row r="16" spans="1:20" ht="15.75" customHeight="1">
      <c r="A16" s="8">
        <v>6</v>
      </c>
      <c r="B16" s="19" t="s">
        <v>478</v>
      </c>
      <c r="C16" s="348">
        <v>10861</v>
      </c>
      <c r="D16" s="348">
        <v>453</v>
      </c>
      <c r="E16" s="348">
        <f>'enrolment vs availed_UPY'!J16</f>
        <v>0</v>
      </c>
      <c r="F16" s="348">
        <v>166</v>
      </c>
      <c r="G16" s="348">
        <f t="shared" si="0"/>
        <v>11480</v>
      </c>
      <c r="H16" s="335">
        <v>230</v>
      </c>
      <c r="I16" s="350">
        <f t="shared" si="1"/>
        <v>396.05999999999995</v>
      </c>
      <c r="J16" s="350">
        <f t="shared" si="2"/>
        <v>396.05999999999995</v>
      </c>
      <c r="K16" s="350">
        <v>0</v>
      </c>
      <c r="L16" s="350">
        <v>0</v>
      </c>
      <c r="M16" s="350">
        <f t="shared" si="3"/>
        <v>26.518800000000002</v>
      </c>
      <c r="N16" s="350">
        <f t="shared" si="4"/>
        <v>26.518800000000002</v>
      </c>
      <c r="O16" s="350">
        <v>0</v>
      </c>
      <c r="P16" s="350">
        <v>0</v>
      </c>
      <c r="Q16" s="350">
        <v>0</v>
      </c>
      <c r="R16" s="350">
        <v>0</v>
      </c>
      <c r="S16" s="565">
        <v>2890</v>
      </c>
      <c r="T16" s="565">
        <f t="shared" si="5"/>
        <v>11.446133999999999</v>
      </c>
    </row>
    <row r="17" spans="1:20" ht="15.75" customHeight="1">
      <c r="A17" s="8">
        <v>7</v>
      </c>
      <c r="B17" s="19" t="s">
        <v>479</v>
      </c>
      <c r="C17" s="348">
        <v>15406</v>
      </c>
      <c r="D17" s="348">
        <v>393</v>
      </c>
      <c r="E17" s="348">
        <f>'enrolment vs availed_UPY'!J17</f>
        <v>0</v>
      </c>
      <c r="F17" s="348">
        <v>202</v>
      </c>
      <c r="G17" s="348">
        <f t="shared" si="0"/>
        <v>16001</v>
      </c>
      <c r="H17" s="335">
        <v>230</v>
      </c>
      <c r="I17" s="350">
        <f t="shared" si="1"/>
        <v>552.0345</v>
      </c>
      <c r="J17" s="350">
        <f t="shared" si="2"/>
        <v>552.0345</v>
      </c>
      <c r="K17" s="350">
        <v>0</v>
      </c>
      <c r="L17" s="350">
        <v>0</v>
      </c>
      <c r="M17" s="350">
        <f t="shared" si="3"/>
        <v>36.96231</v>
      </c>
      <c r="N17" s="350">
        <f t="shared" si="4"/>
        <v>36.96231</v>
      </c>
      <c r="O17" s="350">
        <v>0</v>
      </c>
      <c r="P17" s="350">
        <v>0</v>
      </c>
      <c r="Q17" s="350">
        <v>0</v>
      </c>
      <c r="R17" s="350">
        <v>0</v>
      </c>
      <c r="S17" s="565">
        <v>2890</v>
      </c>
      <c r="T17" s="565">
        <f t="shared" si="5"/>
        <v>15.953797049999999</v>
      </c>
    </row>
    <row r="18" spans="1:20" ht="15.75" customHeight="1">
      <c r="A18" s="8">
        <v>8</v>
      </c>
      <c r="B18" s="19" t="s">
        <v>480</v>
      </c>
      <c r="C18" s="348">
        <v>14745</v>
      </c>
      <c r="D18" s="348">
        <v>105</v>
      </c>
      <c r="E18" s="348">
        <f>'enrolment vs availed_UPY'!J18</f>
        <v>0</v>
      </c>
      <c r="F18" s="348">
        <v>0</v>
      </c>
      <c r="G18" s="348">
        <f t="shared" si="0"/>
        <v>14850</v>
      </c>
      <c r="H18" s="335">
        <v>230</v>
      </c>
      <c r="I18" s="350">
        <f t="shared" si="1"/>
        <v>512.3249999999999</v>
      </c>
      <c r="J18" s="350">
        <f t="shared" si="2"/>
        <v>512.3249999999999</v>
      </c>
      <c r="K18" s="350">
        <v>0</v>
      </c>
      <c r="L18" s="350">
        <v>0</v>
      </c>
      <c r="M18" s="350">
        <f t="shared" si="3"/>
        <v>34.3035</v>
      </c>
      <c r="N18" s="350">
        <f t="shared" si="4"/>
        <v>34.3035</v>
      </c>
      <c r="O18" s="350">
        <v>0</v>
      </c>
      <c r="P18" s="350">
        <v>0</v>
      </c>
      <c r="Q18" s="350">
        <v>0</v>
      </c>
      <c r="R18" s="350">
        <v>0</v>
      </c>
      <c r="S18" s="565">
        <v>2890</v>
      </c>
      <c r="T18" s="565">
        <f t="shared" si="5"/>
        <v>14.806192499999998</v>
      </c>
    </row>
    <row r="19" spans="1:20" ht="15.75" customHeight="1">
      <c r="A19" s="3"/>
      <c r="B19" s="27" t="s">
        <v>481</v>
      </c>
      <c r="C19" s="348">
        <f>SUM(C11:C18)</f>
        <v>120237</v>
      </c>
      <c r="D19" s="348">
        <f>SUM(D11:D18)</f>
        <v>4595</v>
      </c>
      <c r="E19" s="348">
        <f>SUM(E11:E18)</f>
        <v>0</v>
      </c>
      <c r="F19" s="348">
        <f>SUM(F11:F18)</f>
        <v>661</v>
      </c>
      <c r="G19" s="348">
        <f>SUM(G11:G18)</f>
        <v>125493</v>
      </c>
      <c r="H19" s="241"/>
      <c r="I19" s="350">
        <f aca="true" t="shared" si="6" ref="I19:T19">SUM(I11:I18)</f>
        <v>4329.508499999999</v>
      </c>
      <c r="J19" s="350">
        <f t="shared" si="6"/>
        <v>4329.508499999999</v>
      </c>
      <c r="K19" s="350">
        <f t="shared" si="6"/>
        <v>0</v>
      </c>
      <c r="L19" s="350">
        <f t="shared" si="6"/>
        <v>0</v>
      </c>
      <c r="M19" s="350">
        <f t="shared" si="6"/>
        <v>289.88883000000004</v>
      </c>
      <c r="N19" s="350">
        <f t="shared" si="6"/>
        <v>289.88883000000004</v>
      </c>
      <c r="O19" s="350">
        <f t="shared" si="6"/>
        <v>0</v>
      </c>
      <c r="P19" s="350">
        <f t="shared" si="6"/>
        <v>0</v>
      </c>
      <c r="Q19" s="350">
        <f t="shared" si="6"/>
        <v>0</v>
      </c>
      <c r="R19" s="350">
        <f t="shared" si="6"/>
        <v>0</v>
      </c>
      <c r="S19" s="350">
        <v>2890</v>
      </c>
      <c r="T19" s="350">
        <f t="shared" si="6"/>
        <v>125.12279564999999</v>
      </c>
    </row>
    <row r="20" spans="1:20" ht="12.75">
      <c r="A20" s="242"/>
      <c r="B20" s="242"/>
      <c r="C20" s="242"/>
      <c r="D20" s="583"/>
      <c r="E20" s="583"/>
      <c r="F20" s="583"/>
      <c r="G20" s="242"/>
      <c r="H20" s="242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</row>
    <row r="21" spans="1:20" ht="12.75">
      <c r="A21" s="243" t="s">
        <v>8</v>
      </c>
      <c r="B21" s="478"/>
      <c r="C21" s="478"/>
      <c r="D21" s="583"/>
      <c r="E21" s="583"/>
      <c r="F21" s="583"/>
      <c r="G21" s="242"/>
      <c r="H21" s="242"/>
      <c r="I21" s="237"/>
      <c r="J21" s="237"/>
      <c r="K21" s="237"/>
      <c r="L21" s="237"/>
      <c r="M21" s="237"/>
      <c r="N21" s="237"/>
      <c r="O21" s="237"/>
      <c r="P21" s="237" t="s">
        <v>11</v>
      </c>
      <c r="Q21" s="237"/>
      <c r="R21" s="237"/>
      <c r="S21" s="237"/>
      <c r="T21" s="237"/>
    </row>
    <row r="22" spans="1:20" ht="12.75">
      <c r="A22" s="244" t="s">
        <v>9</v>
      </c>
      <c r="B22" s="244"/>
      <c r="C22" s="244"/>
      <c r="D22" s="583"/>
      <c r="E22" s="583"/>
      <c r="F22" s="583"/>
      <c r="H22" s="237" t="s">
        <v>11</v>
      </c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 t="s">
        <v>11</v>
      </c>
    </row>
    <row r="23" spans="1:20" ht="12.75">
      <c r="A23" s="244" t="s">
        <v>10</v>
      </c>
      <c r="B23" s="244"/>
      <c r="C23" s="244"/>
      <c r="D23" s="583"/>
      <c r="E23" s="583"/>
      <c r="F23" s="583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</row>
    <row r="24" spans="1:20" ht="12.75">
      <c r="A24" s="244"/>
      <c r="B24" s="244"/>
      <c r="C24" s="244"/>
      <c r="D24" s="583"/>
      <c r="E24" s="583"/>
      <c r="F24" s="583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</row>
    <row r="25" spans="1:20" ht="12.75" customHeight="1">
      <c r="A25" s="244" t="s">
        <v>12</v>
      </c>
      <c r="D25" s="583"/>
      <c r="E25" s="583"/>
      <c r="F25" s="583"/>
      <c r="H25" s="244"/>
      <c r="I25" s="237"/>
      <c r="J25" s="244"/>
      <c r="K25" s="244"/>
      <c r="L25" s="244"/>
      <c r="M25" s="244"/>
      <c r="N25" s="244"/>
      <c r="O25" s="1008"/>
      <c r="P25" s="1008"/>
      <c r="Q25" s="1008"/>
      <c r="R25" s="1008"/>
      <c r="S25" s="237"/>
      <c r="T25" s="237"/>
    </row>
    <row r="26" spans="4:20" ht="12.75" customHeight="1">
      <c r="D26" s="583"/>
      <c r="E26" s="583"/>
      <c r="F26" s="583"/>
      <c r="I26" s="244"/>
      <c r="J26" s="237"/>
      <c r="K26" s="293"/>
      <c r="L26" s="293"/>
      <c r="M26" s="293"/>
      <c r="N26" s="293"/>
      <c r="O26" s="1005" t="s">
        <v>1062</v>
      </c>
      <c r="P26" s="1005"/>
      <c r="Q26" s="1005"/>
      <c r="R26" s="1005"/>
      <c r="S26" s="1005"/>
      <c r="T26" s="237"/>
    </row>
    <row r="27" spans="4:20" ht="12.75" customHeight="1">
      <c r="D27" s="583"/>
      <c r="E27" s="583"/>
      <c r="F27" s="583"/>
      <c r="I27" s="237"/>
      <c r="J27" s="293"/>
      <c r="K27" s="293"/>
      <c r="L27" s="293"/>
      <c r="M27" s="293"/>
      <c r="N27" s="293"/>
      <c r="O27" s="1005" t="s">
        <v>484</v>
      </c>
      <c r="P27" s="1005"/>
      <c r="Q27" s="1005"/>
      <c r="R27" s="1005"/>
      <c r="S27" s="1005"/>
      <c r="T27" s="237"/>
    </row>
    <row r="28" spans="1:20" ht="12.75">
      <c r="A28" s="244"/>
      <c r="B28" s="244"/>
      <c r="D28" s="583"/>
      <c r="E28" s="583"/>
      <c r="F28" s="583"/>
      <c r="I28" s="237"/>
      <c r="J28" s="244"/>
      <c r="K28" s="244"/>
      <c r="L28" s="244"/>
      <c r="M28" s="244"/>
      <c r="N28" s="244"/>
      <c r="O28" s="244"/>
      <c r="P28" s="416" t="s">
        <v>80</v>
      </c>
      <c r="Q28" s="416"/>
      <c r="R28" s="417"/>
      <c r="S28" s="237"/>
      <c r="T28" s="237"/>
    </row>
    <row r="29" spans="3:5" ht="12.75">
      <c r="C29" s="550"/>
      <c r="D29" s="550"/>
      <c r="E29" s="550"/>
    </row>
  </sheetData>
  <sheetProtection/>
  <mergeCells count="18">
    <mergeCell ref="O26:S26"/>
    <mergeCell ref="O27:S27"/>
    <mergeCell ref="S8:T8"/>
    <mergeCell ref="A6:R6"/>
    <mergeCell ref="A7:B7"/>
    <mergeCell ref="L7:R7"/>
    <mergeCell ref="A8:A9"/>
    <mergeCell ref="H8:H9"/>
    <mergeCell ref="I8:L8"/>
    <mergeCell ref="M8:R8"/>
    <mergeCell ref="O25:R25"/>
    <mergeCell ref="G1:I1"/>
    <mergeCell ref="Q1:R1"/>
    <mergeCell ref="A2:R2"/>
    <mergeCell ref="A3:R3"/>
    <mergeCell ref="A4:P5"/>
    <mergeCell ref="B8:B9"/>
    <mergeCell ref="C8:G8"/>
  </mergeCells>
  <printOptions horizontalCentered="1"/>
  <pageMargins left="0.45" right="0.16" top="1.24" bottom="0" header="0.76" footer="0.31496062992125984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80" zoomScaleSheetLayoutView="80" zoomScalePageLayoutView="0" workbookViewId="0" topLeftCell="C1">
      <selection activeCell="J17" sqref="J17"/>
    </sheetView>
  </sheetViews>
  <sheetFormatPr defaultColWidth="9.140625" defaultRowHeight="12.75"/>
  <cols>
    <col min="1" max="1" width="7.28125" style="175" customWidth="1"/>
    <col min="2" max="2" width="31.140625" style="175" customWidth="1"/>
    <col min="3" max="6" width="10.421875" style="175" customWidth="1"/>
    <col min="7" max="7" width="13.57421875" style="175" customWidth="1"/>
    <col min="8" max="8" width="9.28125" style="175" bestFit="1" customWidth="1"/>
    <col min="9" max="9" width="9.28125" style="175" customWidth="1"/>
    <col min="10" max="10" width="9.28125" style="175" bestFit="1" customWidth="1"/>
    <col min="11" max="11" width="12.28125" style="175" bestFit="1" customWidth="1"/>
    <col min="12" max="14" width="6.8515625" style="175" customWidth="1"/>
    <col min="15" max="15" width="12.28125" style="175" bestFit="1" customWidth="1"/>
    <col min="16" max="16" width="9.28125" style="175" bestFit="1" customWidth="1"/>
    <col min="17" max="17" width="8.00390625" style="175" bestFit="1" customWidth="1"/>
    <col min="18" max="18" width="9.28125" style="175" bestFit="1" customWidth="1"/>
    <col min="19" max="19" width="12.28125" style="175" bestFit="1" customWidth="1"/>
    <col min="20" max="22" width="8.8515625" style="175" customWidth="1"/>
    <col min="23" max="23" width="13.57421875" style="175" customWidth="1"/>
    <col min="24" max="16384" width="9.140625" style="175" customWidth="1"/>
  </cols>
  <sheetData>
    <row r="1" ht="15">
      <c r="W1" s="176" t="s">
        <v>700</v>
      </c>
    </row>
    <row r="2" spans="1:23" ht="15.75">
      <c r="A2" s="731" t="s">
        <v>0</v>
      </c>
      <c r="B2" s="731"/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1"/>
      <c r="S2" s="731"/>
      <c r="T2" s="731"/>
      <c r="U2" s="731"/>
      <c r="V2" s="731"/>
      <c r="W2" s="731"/>
    </row>
    <row r="3" spans="1:25" ht="20.25">
      <c r="A3" s="732" t="s">
        <v>878</v>
      </c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732"/>
      <c r="Q3" s="732"/>
      <c r="R3" s="732"/>
      <c r="S3" s="732"/>
      <c r="T3" s="732"/>
      <c r="U3" s="732"/>
      <c r="V3" s="732"/>
      <c r="W3" s="732"/>
      <c r="X3" s="127"/>
      <c r="Y3" s="127"/>
    </row>
    <row r="4" spans="3:23" ht="18"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</row>
    <row r="5" spans="1:23" ht="15.75">
      <c r="A5" s="733" t="s">
        <v>882</v>
      </c>
      <c r="B5" s="733"/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  <c r="Q5" s="733"/>
      <c r="R5" s="733"/>
      <c r="S5" s="733"/>
      <c r="T5" s="733"/>
      <c r="U5" s="733"/>
      <c r="V5" s="733"/>
      <c r="W5" s="733"/>
    </row>
    <row r="6" spans="12:23" ht="15">
      <c r="L6" s="90"/>
      <c r="M6" s="90"/>
      <c r="N6" s="90"/>
      <c r="O6" s="90" t="s">
        <v>11</v>
      </c>
      <c r="P6" s="90"/>
      <c r="Q6" s="90"/>
      <c r="R6" s="90"/>
      <c r="S6" s="90"/>
      <c r="V6" s="735" t="s">
        <v>249</v>
      </c>
      <c r="W6" s="736"/>
    </row>
    <row r="7" spans="1:23" ht="12.75">
      <c r="A7" s="668" t="s">
        <v>472</v>
      </c>
      <c r="B7" s="668"/>
      <c r="P7" s="737" t="s">
        <v>929</v>
      </c>
      <c r="Q7" s="737"/>
      <c r="R7" s="737"/>
      <c r="S7" s="737"/>
      <c r="T7" s="737"/>
      <c r="U7" s="737"/>
      <c r="V7" s="737"/>
      <c r="W7" s="737"/>
    </row>
    <row r="8" spans="1:23" s="351" customFormat="1" ht="35.25" customHeight="1">
      <c r="A8" s="734" t="s">
        <v>2</v>
      </c>
      <c r="B8" s="734" t="s">
        <v>145</v>
      </c>
      <c r="C8" s="734" t="s">
        <v>146</v>
      </c>
      <c r="D8" s="734"/>
      <c r="E8" s="734"/>
      <c r="F8" s="734"/>
      <c r="G8" s="734" t="s">
        <v>147</v>
      </c>
      <c r="H8" s="734" t="s">
        <v>538</v>
      </c>
      <c r="I8" s="734"/>
      <c r="J8" s="734"/>
      <c r="K8" s="734"/>
      <c r="L8" s="734"/>
      <c r="M8" s="734"/>
      <c r="N8" s="734"/>
      <c r="O8" s="734"/>
      <c r="P8" s="734" t="s">
        <v>175</v>
      </c>
      <c r="Q8" s="734"/>
      <c r="R8" s="734"/>
      <c r="S8" s="734"/>
      <c r="T8" s="734"/>
      <c r="U8" s="734"/>
      <c r="V8" s="734"/>
      <c r="W8" s="734"/>
    </row>
    <row r="9" spans="1:23" s="351" customFormat="1" ht="15">
      <c r="A9" s="734"/>
      <c r="B9" s="734"/>
      <c r="C9" s="734" t="s">
        <v>250</v>
      </c>
      <c r="D9" s="734" t="s">
        <v>40</v>
      </c>
      <c r="E9" s="734" t="s">
        <v>41</v>
      </c>
      <c r="F9" s="734" t="s">
        <v>16</v>
      </c>
      <c r="G9" s="734"/>
      <c r="H9" s="734" t="s">
        <v>176</v>
      </c>
      <c r="I9" s="734"/>
      <c r="J9" s="734"/>
      <c r="K9" s="734"/>
      <c r="L9" s="734" t="s">
        <v>164</v>
      </c>
      <c r="M9" s="734"/>
      <c r="N9" s="734"/>
      <c r="O9" s="734"/>
      <c r="P9" s="734" t="s">
        <v>148</v>
      </c>
      <c r="Q9" s="734"/>
      <c r="R9" s="734"/>
      <c r="S9" s="734"/>
      <c r="T9" s="734" t="s">
        <v>163</v>
      </c>
      <c r="U9" s="734"/>
      <c r="V9" s="734"/>
      <c r="W9" s="734"/>
    </row>
    <row r="10" spans="1:23" s="351" customFormat="1" ht="15" customHeight="1">
      <c r="A10" s="734"/>
      <c r="B10" s="734"/>
      <c r="C10" s="734"/>
      <c r="D10" s="734"/>
      <c r="E10" s="734"/>
      <c r="F10" s="734"/>
      <c r="G10" s="734"/>
      <c r="H10" s="734" t="s">
        <v>149</v>
      </c>
      <c r="I10" s="734"/>
      <c r="J10" s="734"/>
      <c r="K10" s="734" t="s">
        <v>150</v>
      </c>
      <c r="L10" s="734" t="s">
        <v>149</v>
      </c>
      <c r="M10" s="734"/>
      <c r="N10" s="734"/>
      <c r="O10" s="734" t="s">
        <v>150</v>
      </c>
      <c r="P10" s="734" t="s">
        <v>149</v>
      </c>
      <c r="Q10" s="734"/>
      <c r="R10" s="734"/>
      <c r="S10" s="734" t="s">
        <v>150</v>
      </c>
      <c r="T10" s="734" t="s">
        <v>149</v>
      </c>
      <c r="U10" s="734"/>
      <c r="V10" s="734"/>
      <c r="W10" s="734" t="s">
        <v>150</v>
      </c>
    </row>
    <row r="11" spans="1:23" s="351" customFormat="1" ht="15" customHeight="1">
      <c r="A11" s="734"/>
      <c r="B11" s="734"/>
      <c r="C11" s="734"/>
      <c r="D11" s="734"/>
      <c r="E11" s="734"/>
      <c r="F11" s="734"/>
      <c r="G11" s="734"/>
      <c r="H11" s="734"/>
      <c r="I11" s="734"/>
      <c r="J11" s="734"/>
      <c r="K11" s="734"/>
      <c r="L11" s="734"/>
      <c r="M11" s="734"/>
      <c r="N11" s="734"/>
      <c r="O11" s="734"/>
      <c r="P11" s="734"/>
      <c r="Q11" s="734"/>
      <c r="R11" s="734"/>
      <c r="S11" s="734"/>
      <c r="T11" s="734"/>
      <c r="U11" s="734"/>
      <c r="V11" s="734"/>
      <c r="W11" s="734"/>
    </row>
    <row r="12" spans="1:23" s="351" customFormat="1" ht="15">
      <c r="A12" s="734"/>
      <c r="B12" s="734"/>
      <c r="C12" s="734"/>
      <c r="D12" s="734"/>
      <c r="E12" s="734"/>
      <c r="F12" s="734"/>
      <c r="G12" s="734"/>
      <c r="H12" s="179" t="s">
        <v>250</v>
      </c>
      <c r="I12" s="179" t="s">
        <v>40</v>
      </c>
      <c r="J12" s="180" t="s">
        <v>41</v>
      </c>
      <c r="K12" s="734"/>
      <c r="L12" s="179" t="s">
        <v>250</v>
      </c>
      <c r="M12" s="179" t="s">
        <v>40</v>
      </c>
      <c r="N12" s="179" t="s">
        <v>41</v>
      </c>
      <c r="O12" s="734"/>
      <c r="P12" s="179" t="s">
        <v>250</v>
      </c>
      <c r="Q12" s="179" t="s">
        <v>40</v>
      </c>
      <c r="R12" s="179" t="s">
        <v>41</v>
      </c>
      <c r="S12" s="734"/>
      <c r="T12" s="179" t="s">
        <v>250</v>
      </c>
      <c r="U12" s="179" t="s">
        <v>40</v>
      </c>
      <c r="V12" s="179" t="s">
        <v>41</v>
      </c>
      <c r="W12" s="734"/>
    </row>
    <row r="13" spans="1:23" ht="15">
      <c r="A13" s="178">
        <v>1</v>
      </c>
      <c r="B13" s="178">
        <v>2</v>
      </c>
      <c r="C13" s="178">
        <v>3</v>
      </c>
      <c r="D13" s="178">
        <v>4</v>
      </c>
      <c r="E13" s="178">
        <v>5</v>
      </c>
      <c r="F13" s="178">
        <v>6</v>
      </c>
      <c r="G13" s="178">
        <v>7</v>
      </c>
      <c r="H13" s="178">
        <v>8</v>
      </c>
      <c r="I13" s="178">
        <v>9</v>
      </c>
      <c r="J13" s="178">
        <v>10</v>
      </c>
      <c r="K13" s="178">
        <v>11</v>
      </c>
      <c r="L13" s="178">
        <v>12</v>
      </c>
      <c r="M13" s="178">
        <v>13</v>
      </c>
      <c r="N13" s="178">
        <v>14</v>
      </c>
      <c r="O13" s="178">
        <v>15</v>
      </c>
      <c r="P13" s="178">
        <v>16</v>
      </c>
      <c r="Q13" s="178">
        <v>17</v>
      </c>
      <c r="R13" s="178">
        <v>18</v>
      </c>
      <c r="S13" s="178">
        <v>19</v>
      </c>
      <c r="T13" s="178">
        <v>20</v>
      </c>
      <c r="U13" s="178">
        <v>21</v>
      </c>
      <c r="V13" s="178">
        <v>22</v>
      </c>
      <c r="W13" s="535">
        <v>23</v>
      </c>
    </row>
    <row r="14" spans="1:23" ht="15.75">
      <c r="A14" s="742" t="s">
        <v>205</v>
      </c>
      <c r="B14" s="742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</row>
    <row r="15" spans="1:23" ht="21.75" customHeight="1">
      <c r="A15" s="179">
        <v>1</v>
      </c>
      <c r="B15" s="376" t="s">
        <v>204</v>
      </c>
      <c r="C15" s="377">
        <v>266.952</v>
      </c>
      <c r="D15" s="377">
        <v>266.952</v>
      </c>
      <c r="E15" s="377">
        <v>800.856</v>
      </c>
      <c r="F15" s="377">
        <f>SUM(C15:E15)</f>
        <v>1334.76</v>
      </c>
      <c r="G15" s="512" t="s">
        <v>1038</v>
      </c>
      <c r="H15" s="377">
        <v>266.952</v>
      </c>
      <c r="I15" s="377">
        <v>266.952</v>
      </c>
      <c r="J15" s="377">
        <v>800.856</v>
      </c>
      <c r="K15" s="512" t="s">
        <v>1041</v>
      </c>
      <c r="L15" s="377">
        <v>2.4290000000000003</v>
      </c>
      <c r="M15" s="377">
        <v>2.4290000000000003</v>
      </c>
      <c r="N15" s="377">
        <v>7.286999999999999</v>
      </c>
      <c r="O15" s="512" t="s">
        <v>1044</v>
      </c>
      <c r="P15" s="377">
        <v>243.15800000000002</v>
      </c>
      <c r="Q15" s="377">
        <v>243.15800000000002</v>
      </c>
      <c r="R15" s="377">
        <v>729.4739999999999</v>
      </c>
      <c r="S15" s="512" t="s">
        <v>1044</v>
      </c>
      <c r="T15" s="377">
        <v>243.15800000000002</v>
      </c>
      <c r="U15" s="377">
        <v>243.15800000000002</v>
      </c>
      <c r="V15" s="377">
        <v>729.4739999999999</v>
      </c>
      <c r="W15" s="512" t="s">
        <v>1047</v>
      </c>
    </row>
    <row r="16" spans="1:23" ht="21.75" customHeight="1">
      <c r="A16" s="179">
        <v>2</v>
      </c>
      <c r="B16" s="376" t="s">
        <v>151</v>
      </c>
      <c r="C16" s="377">
        <v>299.91200000000003</v>
      </c>
      <c r="D16" s="377">
        <v>299.912</v>
      </c>
      <c r="E16" s="377">
        <v>899.736</v>
      </c>
      <c r="F16" s="377">
        <f>SUM(C16:E16)</f>
        <v>1499.56</v>
      </c>
      <c r="G16" s="512" t="s">
        <v>1039</v>
      </c>
      <c r="H16" s="377">
        <v>299.91200000000003</v>
      </c>
      <c r="I16" s="377">
        <v>299.912</v>
      </c>
      <c r="J16" s="377">
        <v>899.736</v>
      </c>
      <c r="K16" s="512" t="s">
        <v>1042</v>
      </c>
      <c r="L16" s="377">
        <v>3.4006000000000007</v>
      </c>
      <c r="M16" s="377">
        <v>3.4005999999999994</v>
      </c>
      <c r="N16" s="377">
        <v>10.201799999999997</v>
      </c>
      <c r="O16" s="512" t="s">
        <v>1045</v>
      </c>
      <c r="P16" s="377">
        <v>275.43399999999997</v>
      </c>
      <c r="Q16" s="377">
        <v>275.434</v>
      </c>
      <c r="R16" s="377">
        <v>826.302</v>
      </c>
      <c r="S16" s="512" t="s">
        <v>1045</v>
      </c>
      <c r="T16" s="377">
        <v>275.43399999999997</v>
      </c>
      <c r="U16" s="377">
        <v>275.434</v>
      </c>
      <c r="V16" s="377">
        <v>826.302</v>
      </c>
      <c r="W16" s="512" t="s">
        <v>1048</v>
      </c>
    </row>
    <row r="17" spans="1:23" ht="21.75" customHeight="1">
      <c r="A17" s="179">
        <v>3</v>
      </c>
      <c r="B17" s="376" t="s">
        <v>152</v>
      </c>
      <c r="C17" s="377">
        <v>441.06600000000003</v>
      </c>
      <c r="D17" s="377">
        <v>441.06600000000003</v>
      </c>
      <c r="E17" s="377">
        <v>1323.1979999999999</v>
      </c>
      <c r="F17" s="377">
        <f>SUM(C17:E17)</f>
        <v>2205.33</v>
      </c>
      <c r="G17" s="512" t="s">
        <v>1040</v>
      </c>
      <c r="H17" s="377">
        <v>441.06600000000003</v>
      </c>
      <c r="I17" s="377">
        <v>441.06600000000003</v>
      </c>
      <c r="J17" s="377">
        <v>1323.1979999999999</v>
      </c>
      <c r="K17" s="512" t="s">
        <v>1043</v>
      </c>
      <c r="L17" s="377">
        <v>3.886400000000002</v>
      </c>
      <c r="M17" s="377">
        <v>3.8864000000000005</v>
      </c>
      <c r="N17" s="377">
        <v>11.6592</v>
      </c>
      <c r="O17" s="512" t="s">
        <v>1046</v>
      </c>
      <c r="P17" s="377">
        <v>405.0999999999999</v>
      </c>
      <c r="Q17" s="377">
        <v>405.1</v>
      </c>
      <c r="R17" s="377">
        <v>1215.3</v>
      </c>
      <c r="S17" s="512" t="s">
        <v>1046</v>
      </c>
      <c r="T17" s="377">
        <v>405.0999999999999</v>
      </c>
      <c r="U17" s="377">
        <v>405.1</v>
      </c>
      <c r="V17" s="377">
        <v>1215.3</v>
      </c>
      <c r="W17" s="512" t="s">
        <v>1049</v>
      </c>
    </row>
    <row r="18" spans="1:23" s="370" customFormat="1" ht="21.75" customHeight="1">
      <c r="A18" s="734" t="s">
        <v>527</v>
      </c>
      <c r="B18" s="734"/>
      <c r="C18" s="379">
        <f>SUM(C15:C17)</f>
        <v>1007.9300000000001</v>
      </c>
      <c r="D18" s="379">
        <f>SUM(D15:D17)</f>
        <v>1007.9300000000001</v>
      </c>
      <c r="E18" s="379">
        <f>SUM(E15:E17)</f>
        <v>3023.79</v>
      </c>
      <c r="F18" s="379">
        <f>SUM(F15:F17)</f>
        <v>5039.65</v>
      </c>
      <c r="G18" s="179"/>
      <c r="H18" s="379">
        <f>SUM(H15:H17)</f>
        <v>1007.9300000000001</v>
      </c>
      <c r="I18" s="379">
        <f>SUM(I15:I17)</f>
        <v>1007.9300000000001</v>
      </c>
      <c r="J18" s="379">
        <f>SUM(J15:J17)</f>
        <v>3023.79</v>
      </c>
      <c r="K18" s="379"/>
      <c r="L18" s="379">
        <f>L17+L16+L15</f>
        <v>9.716000000000003</v>
      </c>
      <c r="M18" s="379">
        <f>M17+M16+M15</f>
        <v>9.716000000000001</v>
      </c>
      <c r="N18" s="379">
        <f>N17+N16+N15</f>
        <v>29.147999999999996</v>
      </c>
      <c r="O18" s="379"/>
      <c r="P18" s="379">
        <f>SUM(P15:P17)</f>
        <v>923.6919999999999</v>
      </c>
      <c r="Q18" s="379">
        <f>SUM(Q15:Q17)</f>
        <v>923.6920000000001</v>
      </c>
      <c r="R18" s="379">
        <f>SUM(R15:R17)</f>
        <v>2771.076</v>
      </c>
      <c r="S18" s="379"/>
      <c r="T18" s="379">
        <f>SUM(T15:T17)</f>
        <v>923.6919999999999</v>
      </c>
      <c r="U18" s="379">
        <f>SUM(U15:U17)</f>
        <v>923.6920000000001</v>
      </c>
      <c r="V18" s="379">
        <f>SUM(V15:V17)</f>
        <v>2771.076</v>
      </c>
      <c r="W18" s="379"/>
    </row>
    <row r="19" spans="1:23" ht="21.75" customHeight="1">
      <c r="A19" s="743" t="s">
        <v>206</v>
      </c>
      <c r="B19" s="743"/>
      <c r="C19" s="380"/>
      <c r="D19" s="380"/>
      <c r="E19" s="380"/>
      <c r="F19" s="380"/>
      <c r="G19" s="378"/>
      <c r="H19" s="380"/>
      <c r="I19" s="380"/>
      <c r="J19" s="380"/>
      <c r="K19" s="378"/>
      <c r="L19" s="378"/>
      <c r="M19" s="378"/>
      <c r="N19" s="378"/>
      <c r="O19" s="378" t="s">
        <v>11</v>
      </c>
      <c r="P19" s="377"/>
      <c r="Q19" s="377"/>
      <c r="R19" s="377"/>
      <c r="S19" s="378"/>
      <c r="T19" s="377"/>
      <c r="U19" s="377"/>
      <c r="V19" s="373"/>
      <c r="W19" s="378"/>
    </row>
    <row r="20" spans="1:23" ht="21.75" customHeight="1">
      <c r="A20" s="178">
        <v>4</v>
      </c>
      <c r="B20" s="376" t="s">
        <v>1001</v>
      </c>
      <c r="C20" s="377">
        <v>0</v>
      </c>
      <c r="D20" s="377">
        <v>0</v>
      </c>
      <c r="E20" s="377">
        <v>0</v>
      </c>
      <c r="F20" s="377">
        <f>SUM(C20:E20)</f>
        <v>0</v>
      </c>
      <c r="G20" s="378"/>
      <c r="H20" s="377">
        <v>0</v>
      </c>
      <c r="I20" s="377">
        <v>0</v>
      </c>
      <c r="J20" s="377">
        <v>0</v>
      </c>
      <c r="K20" s="377"/>
      <c r="L20" s="377">
        <v>0</v>
      </c>
      <c r="M20" s="377">
        <v>0</v>
      </c>
      <c r="N20" s="377">
        <v>0</v>
      </c>
      <c r="O20" s="380"/>
      <c r="P20" s="377">
        <v>0</v>
      </c>
      <c r="Q20" s="377">
        <v>0</v>
      </c>
      <c r="R20" s="377">
        <v>0</v>
      </c>
      <c r="S20" s="380"/>
      <c r="T20" s="377">
        <v>0</v>
      </c>
      <c r="U20" s="377">
        <v>0</v>
      </c>
      <c r="V20" s="377">
        <v>0</v>
      </c>
      <c r="W20" s="378"/>
    </row>
    <row r="21" spans="1:23" ht="21.75" customHeight="1">
      <c r="A21" s="178">
        <v>5</v>
      </c>
      <c r="B21" s="376" t="s">
        <v>129</v>
      </c>
      <c r="C21" s="377">
        <v>0</v>
      </c>
      <c r="D21" s="377">
        <v>0</v>
      </c>
      <c r="E21" s="377">
        <v>0</v>
      </c>
      <c r="F21" s="377">
        <f>SUM(C21:E21)</f>
        <v>0</v>
      </c>
      <c r="G21" s="378"/>
      <c r="H21" s="377">
        <v>0</v>
      </c>
      <c r="I21" s="377">
        <v>0</v>
      </c>
      <c r="J21" s="377">
        <v>0</v>
      </c>
      <c r="K21" s="377"/>
      <c r="L21" s="377">
        <v>0</v>
      </c>
      <c r="M21" s="377">
        <v>0</v>
      </c>
      <c r="N21" s="377">
        <v>0</v>
      </c>
      <c r="O21" s="380"/>
      <c r="P21" s="377">
        <v>0</v>
      </c>
      <c r="Q21" s="377">
        <v>0</v>
      </c>
      <c r="R21" s="377">
        <v>0</v>
      </c>
      <c r="S21" s="380"/>
      <c r="T21" s="377">
        <v>0</v>
      </c>
      <c r="U21" s="377">
        <v>0</v>
      </c>
      <c r="V21" s="377">
        <v>0</v>
      </c>
      <c r="W21" s="378"/>
    </row>
    <row r="22" spans="1:23" ht="21.75" customHeight="1">
      <c r="A22" s="178">
        <v>6</v>
      </c>
      <c r="B22" s="376" t="s">
        <v>1037</v>
      </c>
      <c r="C22" s="377">
        <v>0</v>
      </c>
      <c r="D22" s="377">
        <v>0</v>
      </c>
      <c r="E22" s="377">
        <v>0</v>
      </c>
      <c r="F22" s="377">
        <f>SUM(C22:E22)</f>
        <v>0</v>
      </c>
      <c r="G22" s="512"/>
      <c r="H22" s="377">
        <v>0</v>
      </c>
      <c r="I22" s="377">
        <v>0</v>
      </c>
      <c r="J22" s="377">
        <v>0</v>
      </c>
      <c r="K22" s="534"/>
      <c r="L22" s="377">
        <v>0</v>
      </c>
      <c r="M22" s="377">
        <v>0</v>
      </c>
      <c r="N22" s="377">
        <v>0</v>
      </c>
      <c r="O22" s="380"/>
      <c r="P22" s="377">
        <v>0</v>
      </c>
      <c r="Q22" s="377">
        <v>0</v>
      </c>
      <c r="R22" s="377">
        <v>0</v>
      </c>
      <c r="S22" s="380"/>
      <c r="T22" s="377">
        <v>0</v>
      </c>
      <c r="U22" s="377">
        <v>0</v>
      </c>
      <c r="V22" s="377">
        <v>0</v>
      </c>
      <c r="W22" s="378"/>
    </row>
    <row r="23" spans="1:23" s="370" customFormat="1" ht="21.75" customHeight="1">
      <c r="A23" s="734" t="s">
        <v>528</v>
      </c>
      <c r="B23" s="734"/>
      <c r="C23" s="379">
        <f>SUM(C20:C22)</f>
        <v>0</v>
      </c>
      <c r="D23" s="379">
        <f>SUM(D20:D22)</f>
        <v>0</v>
      </c>
      <c r="E23" s="379">
        <f>SUM(E20:E22)</f>
        <v>0</v>
      </c>
      <c r="F23" s="379">
        <f>SUM(F20:F22)</f>
        <v>0</v>
      </c>
      <c r="G23" s="179"/>
      <c r="H23" s="379">
        <f>SUM(H20:H22)</f>
        <v>0</v>
      </c>
      <c r="I23" s="379">
        <f>SUM(I20:I22)</f>
        <v>0</v>
      </c>
      <c r="J23" s="379">
        <f>SUM(J20:J22)</f>
        <v>0</v>
      </c>
      <c r="K23" s="179"/>
      <c r="L23" s="379">
        <f>SUM(L20:L22)</f>
        <v>0</v>
      </c>
      <c r="M23" s="379">
        <f>SUM(M20:M22)</f>
        <v>0</v>
      </c>
      <c r="N23" s="379">
        <f>SUM(N20:N22)</f>
        <v>0</v>
      </c>
      <c r="O23" s="381"/>
      <c r="P23" s="379">
        <f>SUM(P20:P22)</f>
        <v>0</v>
      </c>
      <c r="Q23" s="379">
        <f>SUM(Q20:Q22)</f>
        <v>0</v>
      </c>
      <c r="R23" s="379">
        <f>SUM(R20:R22)</f>
        <v>0</v>
      </c>
      <c r="S23" s="179"/>
      <c r="T23" s="379">
        <f>SUM(T20:T22)</f>
        <v>0</v>
      </c>
      <c r="U23" s="379">
        <f>SUM(U20:U22)</f>
        <v>0</v>
      </c>
      <c r="V23" s="379">
        <f>SUM(V20:V22)</f>
        <v>0</v>
      </c>
      <c r="W23" s="179"/>
    </row>
    <row r="24" spans="1:23" s="372" customFormat="1" ht="21.75" customHeight="1">
      <c r="A24" s="738" t="s">
        <v>33</v>
      </c>
      <c r="B24" s="738"/>
      <c r="C24" s="374">
        <f>C23+C18</f>
        <v>1007.9300000000001</v>
      </c>
      <c r="D24" s="374">
        <f>D23+D18</f>
        <v>1007.9300000000001</v>
      </c>
      <c r="E24" s="374">
        <f>E23+E18</f>
        <v>3023.79</v>
      </c>
      <c r="F24" s="374">
        <f>F23+F18</f>
        <v>5039.65</v>
      </c>
      <c r="G24" s="371" t="s">
        <v>11</v>
      </c>
      <c r="H24" s="374">
        <f>H18+H23</f>
        <v>1007.9300000000001</v>
      </c>
      <c r="I24" s="374">
        <f>I18+I23</f>
        <v>1007.9300000000001</v>
      </c>
      <c r="J24" s="374">
        <f>J18+J23</f>
        <v>3023.79</v>
      </c>
      <c r="K24" s="371"/>
      <c r="L24" s="374">
        <f>L18+L23</f>
        <v>9.716000000000003</v>
      </c>
      <c r="M24" s="374">
        <f>M18+M23</f>
        <v>9.716000000000001</v>
      </c>
      <c r="N24" s="374">
        <f>N18+N23</f>
        <v>29.147999999999996</v>
      </c>
      <c r="O24" s="375"/>
      <c r="P24" s="374">
        <f>P18+P23</f>
        <v>923.6919999999999</v>
      </c>
      <c r="Q24" s="374">
        <f>Q18+Q23</f>
        <v>923.6920000000001</v>
      </c>
      <c r="R24" s="374">
        <f>R18+R23</f>
        <v>2771.076</v>
      </c>
      <c r="S24" s="371"/>
      <c r="T24" s="374">
        <f>T23+T18</f>
        <v>923.6919999999999</v>
      </c>
      <c r="U24" s="374">
        <f>U23+U18</f>
        <v>923.6920000000001</v>
      </c>
      <c r="V24" s="374">
        <f>V23+V18</f>
        <v>2771.076</v>
      </c>
      <c r="W24" s="371"/>
    </row>
    <row r="25" spans="6:20" ht="12.75">
      <c r="F25" s="175" t="s">
        <v>11</v>
      </c>
      <c r="K25" s="175" t="s">
        <v>11</v>
      </c>
      <c r="T25" s="175" t="s">
        <v>11</v>
      </c>
    </row>
    <row r="26" spans="1:23" ht="14.25">
      <c r="A26" s="741" t="s">
        <v>165</v>
      </c>
      <c r="B26" s="741"/>
      <c r="C26" s="741"/>
      <c r="D26" s="741"/>
      <c r="E26" s="741"/>
      <c r="F26" s="741"/>
      <c r="G26" s="741"/>
      <c r="H26" s="741"/>
      <c r="I26" s="741"/>
      <c r="J26" s="741"/>
      <c r="K26" s="741"/>
      <c r="L26" s="741"/>
      <c r="M26" s="741"/>
      <c r="N26" s="741"/>
      <c r="O26" s="741"/>
      <c r="P26" s="741"/>
      <c r="Q26" s="741"/>
      <c r="R26" s="741"/>
      <c r="S26" s="741"/>
      <c r="T26" s="741"/>
      <c r="U26" s="741"/>
      <c r="V26" s="741"/>
      <c r="W26" s="741"/>
    </row>
    <row r="27" spans="1:23" s="384" customFormat="1" ht="15.75">
      <c r="A27" s="383" t="s">
        <v>506</v>
      </c>
      <c r="B27" s="383" t="s">
        <v>659</v>
      </c>
      <c r="C27" s="383"/>
      <c r="D27" s="383"/>
      <c r="E27" s="383"/>
      <c r="F27" s="383"/>
      <c r="G27" s="383"/>
      <c r="H27" s="383"/>
      <c r="I27" s="383"/>
      <c r="J27" s="383"/>
      <c r="K27" s="383"/>
      <c r="L27" s="383"/>
      <c r="M27" s="383"/>
      <c r="N27" s="383"/>
      <c r="O27" s="383"/>
      <c r="P27" s="383"/>
      <c r="Q27" s="383"/>
      <c r="R27" s="383"/>
      <c r="S27" s="383"/>
      <c r="T27" s="383"/>
      <c r="U27" s="383"/>
      <c r="V27" s="383"/>
      <c r="W27" s="383" t="s">
        <v>11</v>
      </c>
    </row>
    <row r="28" spans="1:19" ht="12.75">
      <c r="A28" s="89"/>
      <c r="B28" s="89"/>
      <c r="C28" s="89"/>
      <c r="D28" s="89"/>
      <c r="E28" s="89"/>
      <c r="F28" s="89"/>
      <c r="G28" s="89" t="s">
        <v>11</v>
      </c>
      <c r="H28" s="89" t="s">
        <v>11</v>
      </c>
      <c r="I28" s="89"/>
      <c r="J28" s="89"/>
      <c r="K28" s="89"/>
      <c r="L28" s="89" t="s">
        <v>11</v>
      </c>
      <c r="M28" s="89"/>
      <c r="N28" s="89"/>
      <c r="O28" s="89"/>
      <c r="P28" s="89"/>
      <c r="Q28" s="89"/>
      <c r="R28" s="89"/>
      <c r="S28" s="89"/>
    </row>
    <row r="29" spans="1:23" ht="15.75" customHeight="1">
      <c r="A29" s="100"/>
      <c r="B29" s="444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P29" s="131"/>
      <c r="Q29" s="131"/>
      <c r="R29" s="131"/>
      <c r="S29" s="740"/>
      <c r="T29" s="740"/>
      <c r="U29" s="740"/>
      <c r="V29" s="740"/>
      <c r="W29" s="740"/>
    </row>
    <row r="30" spans="2:23" ht="15.75" customHeight="1"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740" t="s">
        <v>1062</v>
      </c>
      <c r="T30" s="740"/>
      <c r="U30" s="740"/>
      <c r="V30" s="740"/>
      <c r="W30" s="740"/>
    </row>
    <row r="31" spans="1:23" ht="15.75" customHeight="1">
      <c r="A31" s="384" t="s">
        <v>19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740" t="s">
        <v>485</v>
      </c>
      <c r="T31" s="740"/>
      <c r="U31" s="740"/>
      <c r="V31" s="740"/>
      <c r="W31" s="740"/>
    </row>
    <row r="32" spans="1:21" ht="12.7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S32" s="739" t="s">
        <v>80</v>
      </c>
      <c r="T32" s="739"/>
      <c r="U32" s="739"/>
    </row>
    <row r="34" spans="8:12" ht="14.25">
      <c r="H34" s="389"/>
      <c r="I34" s="390"/>
      <c r="J34" s="389"/>
      <c r="K34" s="389"/>
      <c r="L34" s="389"/>
    </row>
    <row r="35" spans="8:12" ht="14.25">
      <c r="H35" s="389"/>
      <c r="I35" s="390"/>
      <c r="J35" s="389"/>
      <c r="K35" s="389"/>
      <c r="L35" s="389"/>
    </row>
    <row r="36" spans="8:12" ht="14.25">
      <c r="H36" s="389"/>
      <c r="I36" s="390"/>
      <c r="J36" s="389"/>
      <c r="K36" s="389"/>
      <c r="L36" s="389"/>
    </row>
    <row r="37" spans="8:12" ht="12.75">
      <c r="H37" s="389"/>
      <c r="I37" s="389"/>
      <c r="J37" s="389"/>
      <c r="K37" s="389"/>
      <c r="L37" s="389"/>
    </row>
    <row r="38" spans="8:12" ht="12.75">
      <c r="H38" s="389"/>
      <c r="I38" s="389"/>
      <c r="J38" s="389"/>
      <c r="K38" s="389"/>
      <c r="L38" s="389"/>
    </row>
    <row r="39" spans="8:12" ht="12.75">
      <c r="H39" s="389"/>
      <c r="I39" s="389"/>
      <c r="J39" s="389"/>
      <c r="K39" s="389"/>
      <c r="L39" s="389"/>
    </row>
    <row r="40" spans="8:12" ht="12.75">
      <c r="H40" s="389"/>
      <c r="I40" s="389"/>
      <c r="J40" s="389"/>
      <c r="K40" s="389"/>
      <c r="L40" s="389"/>
    </row>
    <row r="41" spans="8:12" ht="12.75">
      <c r="H41" s="389"/>
      <c r="I41" s="389"/>
      <c r="J41" s="391"/>
      <c r="K41" s="389"/>
      <c r="L41" s="389"/>
    </row>
    <row r="42" spans="8:12" ht="12.75">
      <c r="H42" s="389"/>
      <c r="I42" s="389"/>
      <c r="J42" s="389"/>
      <c r="K42" s="389"/>
      <c r="L42" s="389"/>
    </row>
  </sheetData>
  <sheetProtection/>
  <mergeCells count="38">
    <mergeCell ref="S30:W30"/>
    <mergeCell ref="A18:B18"/>
    <mergeCell ref="A23:B23"/>
    <mergeCell ref="L9:O9"/>
    <mergeCell ref="A14:B14"/>
    <mergeCell ref="A19:B19"/>
    <mergeCell ref="T10:V11"/>
    <mergeCell ref="H10:J11"/>
    <mergeCell ref="K10:K12"/>
    <mergeCell ref="L10:N11"/>
    <mergeCell ref="S32:U32"/>
    <mergeCell ref="S10:S12"/>
    <mergeCell ref="O10:O12"/>
    <mergeCell ref="S31:W31"/>
    <mergeCell ref="T9:W9"/>
    <mergeCell ref="P9:S9"/>
    <mergeCell ref="P10:R11"/>
    <mergeCell ref="A26:W26"/>
    <mergeCell ref="S29:W29"/>
    <mergeCell ref="W10:W12"/>
    <mergeCell ref="A24:B24"/>
    <mergeCell ref="A8:A12"/>
    <mergeCell ref="B8:B12"/>
    <mergeCell ref="G8:G12"/>
    <mergeCell ref="E9:E12"/>
    <mergeCell ref="H9:K9"/>
    <mergeCell ref="C9:C12"/>
    <mergeCell ref="D9:D12"/>
    <mergeCell ref="A2:W2"/>
    <mergeCell ref="A3:W3"/>
    <mergeCell ref="A5:W5"/>
    <mergeCell ref="C8:F8"/>
    <mergeCell ref="F9:F12"/>
    <mergeCell ref="V6:W6"/>
    <mergeCell ref="A7:B7"/>
    <mergeCell ref="P7:W7"/>
    <mergeCell ref="P8:W8"/>
    <mergeCell ref="H8:O8"/>
  </mergeCells>
  <printOptions horizontalCentered="1"/>
  <pageMargins left="0.7086614173228347" right="0.21" top="1.45" bottom="0" header="0.93" footer="0.31496062992125984"/>
  <pageSetup fitToHeight="1" fitToWidth="1" horizontalDpi="600" verticalDpi="600" orientation="landscape" paperSize="9" scale="57" r:id="rId1"/>
  <colBreaks count="1" manualBreakCount="1">
    <brk id="23" max="6553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view="pageBreakPreview" zoomScaleSheetLayoutView="100" zoomScalePageLayoutView="0" workbookViewId="0" topLeftCell="A1">
      <selection activeCell="G13" sqref="G13:N15"/>
    </sheetView>
  </sheetViews>
  <sheetFormatPr defaultColWidth="9.140625" defaultRowHeight="12.75"/>
  <cols>
    <col min="1" max="1" width="5.28125" style="237" customWidth="1"/>
    <col min="2" max="2" width="10.57421875" style="237" customWidth="1"/>
    <col min="3" max="3" width="17.8515625" style="237" customWidth="1"/>
    <col min="4" max="4" width="10.8515625" style="237" customWidth="1"/>
    <col min="5" max="5" width="4.57421875" style="237" customWidth="1"/>
    <col min="6" max="6" width="0.2890625" style="237" hidden="1" customWidth="1"/>
    <col min="7" max="7" width="8.7109375" style="237" customWidth="1"/>
    <col min="8" max="9" width="8.00390625" style="237" customWidth="1"/>
    <col min="10" max="12" width="8.140625" style="237" customWidth="1"/>
    <col min="13" max="13" width="10.140625" style="237" customWidth="1"/>
    <col min="14" max="14" width="11.421875" style="237" customWidth="1"/>
    <col min="15" max="15" width="11.7109375" style="237" customWidth="1"/>
    <col min="16" max="16" width="11.140625" style="237" customWidth="1"/>
    <col min="17" max="18" width="12.421875" style="237" customWidth="1"/>
    <col min="19" max="16384" width="9.140625" style="237" customWidth="1"/>
  </cols>
  <sheetData>
    <row r="1" spans="4:16" ht="15">
      <c r="D1" s="1014"/>
      <c r="E1" s="1014"/>
      <c r="F1" s="1014"/>
      <c r="G1" s="1014"/>
      <c r="O1" s="770" t="s">
        <v>738</v>
      </c>
      <c r="P1" s="770"/>
    </row>
    <row r="2" spans="1:16" ht="15.75">
      <c r="A2" s="1013" t="s">
        <v>0</v>
      </c>
      <c r="B2" s="1013"/>
      <c r="C2" s="1013"/>
      <c r="D2" s="1013"/>
      <c r="E2" s="1013"/>
      <c r="F2" s="1013"/>
      <c r="G2" s="1013"/>
      <c r="H2" s="1013"/>
      <c r="I2" s="1013"/>
      <c r="J2" s="1013"/>
      <c r="K2" s="1013"/>
      <c r="L2" s="1013"/>
      <c r="M2" s="1013"/>
      <c r="N2" s="1013"/>
      <c r="O2" s="1013"/>
      <c r="P2" s="1013"/>
    </row>
    <row r="3" spans="1:16" ht="20.25">
      <c r="A3" s="1040" t="s">
        <v>878</v>
      </c>
      <c r="B3" s="1040"/>
      <c r="C3" s="1040"/>
      <c r="D3" s="1040"/>
      <c r="E3" s="1040"/>
      <c r="F3" s="1040"/>
      <c r="G3" s="1040"/>
      <c r="H3" s="1040"/>
      <c r="I3" s="1040"/>
      <c r="J3" s="1040"/>
      <c r="K3" s="1040"/>
      <c r="L3" s="1040"/>
      <c r="M3" s="1040"/>
      <c r="N3" s="1040"/>
      <c r="O3" s="1040"/>
      <c r="P3" s="1040"/>
    </row>
    <row r="5" spans="1:16" s="249" customFormat="1" ht="15.75">
      <c r="A5" s="1012" t="s">
        <v>945</v>
      </c>
      <c r="B5" s="1012"/>
      <c r="C5" s="1012"/>
      <c r="D5" s="1012"/>
      <c r="E5" s="1012"/>
      <c r="F5" s="1012"/>
      <c r="G5" s="1012"/>
      <c r="H5" s="1012"/>
      <c r="I5" s="1012"/>
      <c r="J5" s="1012"/>
      <c r="K5" s="1012"/>
      <c r="L5" s="1012"/>
      <c r="M5" s="1012"/>
      <c r="N5" s="1012"/>
      <c r="O5" s="1012"/>
      <c r="P5" s="1012"/>
    </row>
    <row r="6" spans="1:16" ht="12.75">
      <c r="A6" s="1007"/>
      <c r="B6" s="1007"/>
      <c r="C6" s="1007"/>
      <c r="D6" s="1007"/>
      <c r="E6" s="1007"/>
      <c r="F6" s="1007"/>
      <c r="G6" s="1007"/>
      <c r="H6" s="1007"/>
      <c r="I6" s="1007"/>
      <c r="J6" s="1007"/>
      <c r="K6" s="1007"/>
      <c r="L6" s="1007"/>
      <c r="M6" s="1007"/>
      <c r="N6" s="1007"/>
      <c r="O6" s="1007"/>
      <c r="P6" s="1007"/>
    </row>
    <row r="7" spans="1:16" ht="12.75">
      <c r="A7" s="668" t="s">
        <v>472</v>
      </c>
      <c r="B7" s="668"/>
      <c r="D7" s="246"/>
      <c r="E7" s="246"/>
      <c r="J7" s="1018"/>
      <c r="K7" s="1018"/>
      <c r="L7" s="1018"/>
      <c r="M7" s="1018"/>
      <c r="N7" s="1018"/>
      <c r="O7" s="1018"/>
      <c r="P7" s="1018"/>
    </row>
    <row r="8" spans="1:18" s="294" customFormat="1" ht="30.75" customHeight="1">
      <c r="A8" s="1009" t="s">
        <v>492</v>
      </c>
      <c r="B8" s="1009" t="s">
        <v>3</v>
      </c>
      <c r="C8" s="1031" t="s">
        <v>679</v>
      </c>
      <c r="D8" s="1010" t="s">
        <v>81</v>
      </c>
      <c r="E8" s="1033"/>
      <c r="F8" s="1034"/>
      <c r="G8" s="1015" t="s">
        <v>793</v>
      </c>
      <c r="H8" s="1016"/>
      <c r="I8" s="1016"/>
      <c r="J8" s="1017"/>
      <c r="K8" s="1015" t="s">
        <v>786</v>
      </c>
      <c r="L8" s="1016"/>
      <c r="M8" s="1016"/>
      <c r="N8" s="1016"/>
      <c r="O8" s="1016"/>
      <c r="P8" s="1016"/>
      <c r="Q8" s="1009" t="s">
        <v>851</v>
      </c>
      <c r="R8" s="1009"/>
    </row>
    <row r="9" spans="1:18" s="294" customFormat="1" ht="44.25" customHeight="1">
      <c r="A9" s="1009"/>
      <c r="B9" s="1009"/>
      <c r="C9" s="1032"/>
      <c r="D9" s="1011"/>
      <c r="E9" s="1035"/>
      <c r="F9" s="1036"/>
      <c r="G9" s="291" t="s">
        <v>177</v>
      </c>
      <c r="H9" s="291" t="s">
        <v>110</v>
      </c>
      <c r="I9" s="291" t="s">
        <v>111</v>
      </c>
      <c r="J9" s="291" t="s">
        <v>439</v>
      </c>
      <c r="K9" s="525" t="s">
        <v>16</v>
      </c>
      <c r="L9" s="525" t="s">
        <v>787</v>
      </c>
      <c r="M9" s="525" t="s">
        <v>788</v>
      </c>
      <c r="N9" s="525" t="s">
        <v>789</v>
      </c>
      <c r="O9" s="525" t="s">
        <v>790</v>
      </c>
      <c r="P9" s="525" t="s">
        <v>791</v>
      </c>
      <c r="Q9" s="552" t="s">
        <v>852</v>
      </c>
      <c r="R9" s="552" t="s">
        <v>853</v>
      </c>
    </row>
    <row r="10" spans="1:18" s="244" customFormat="1" ht="12.75">
      <c r="A10" s="239">
        <v>1</v>
      </c>
      <c r="B10" s="239">
        <v>2</v>
      </c>
      <c r="C10" s="239">
        <v>3</v>
      </c>
      <c r="D10" s="1037">
        <v>4</v>
      </c>
      <c r="E10" s="1038"/>
      <c r="F10" s="1039"/>
      <c r="G10" s="239">
        <v>5</v>
      </c>
      <c r="H10" s="239">
        <v>6</v>
      </c>
      <c r="I10" s="239">
        <v>7</v>
      </c>
      <c r="J10" s="239">
        <v>8</v>
      </c>
      <c r="K10" s="239">
        <v>9</v>
      </c>
      <c r="L10" s="239">
        <v>10</v>
      </c>
      <c r="M10" s="239">
        <v>11</v>
      </c>
      <c r="N10" s="239">
        <v>12</v>
      </c>
      <c r="O10" s="239">
        <v>13</v>
      </c>
      <c r="P10" s="239">
        <v>14</v>
      </c>
      <c r="Q10" s="239">
        <v>15</v>
      </c>
      <c r="R10" s="239">
        <v>16</v>
      </c>
    </row>
    <row r="11" spans="1:18" ht="12.75">
      <c r="A11" s="8">
        <v>1</v>
      </c>
      <c r="B11" s="19" t="s">
        <v>473</v>
      </c>
      <c r="C11" s="240"/>
      <c r="D11" s="1019"/>
      <c r="E11" s="1020"/>
      <c r="F11" s="1021"/>
      <c r="G11" s="240"/>
      <c r="H11" s="240"/>
      <c r="I11" s="240"/>
      <c r="J11" s="240"/>
      <c r="K11" s="240"/>
      <c r="L11" s="240"/>
      <c r="M11" s="240"/>
      <c r="N11" s="240"/>
      <c r="O11" s="240"/>
      <c r="P11" s="247"/>
      <c r="Q11" s="240"/>
      <c r="R11" s="240"/>
    </row>
    <row r="12" spans="1:18" ht="12.75">
      <c r="A12" s="8">
        <v>2</v>
      </c>
      <c r="B12" s="19" t="s">
        <v>474</v>
      </c>
      <c r="C12" s="240"/>
      <c r="D12" s="1019"/>
      <c r="E12" s="1020"/>
      <c r="F12" s="1021"/>
      <c r="G12" s="240"/>
      <c r="H12" s="240"/>
      <c r="I12" s="240"/>
      <c r="J12" s="240"/>
      <c r="K12" s="240"/>
      <c r="L12" s="240"/>
      <c r="M12" s="240"/>
      <c r="N12" s="240"/>
      <c r="O12" s="240"/>
      <c r="P12" s="247"/>
      <c r="Q12" s="240"/>
      <c r="R12" s="240"/>
    </row>
    <row r="13" spans="1:18" ht="12.75">
      <c r="A13" s="8">
        <v>3</v>
      </c>
      <c r="B13" s="19" t="s">
        <v>475</v>
      </c>
      <c r="C13" s="240"/>
      <c r="D13" s="1019"/>
      <c r="E13" s="1020"/>
      <c r="F13" s="1021"/>
      <c r="G13" s="1022" t="s">
        <v>507</v>
      </c>
      <c r="H13" s="1023"/>
      <c r="I13" s="1023"/>
      <c r="J13" s="1023"/>
      <c r="K13" s="1023"/>
      <c r="L13" s="1023"/>
      <c r="M13" s="1023"/>
      <c r="N13" s="1024"/>
      <c r="O13" s="240"/>
      <c r="P13" s="247"/>
      <c r="Q13" s="240"/>
      <c r="R13" s="240"/>
    </row>
    <row r="14" spans="1:18" ht="15.75" customHeight="1">
      <c r="A14" s="8">
        <v>4</v>
      </c>
      <c r="B14" s="19" t="s">
        <v>476</v>
      </c>
      <c r="C14" s="240"/>
      <c r="D14" s="1019"/>
      <c r="E14" s="1020"/>
      <c r="F14" s="1021"/>
      <c r="G14" s="1025"/>
      <c r="H14" s="1026"/>
      <c r="I14" s="1026"/>
      <c r="J14" s="1026"/>
      <c r="K14" s="1026"/>
      <c r="L14" s="1026"/>
      <c r="M14" s="1026"/>
      <c r="N14" s="1027"/>
      <c r="O14" s="240"/>
      <c r="P14" s="247"/>
      <c r="Q14" s="240"/>
      <c r="R14" s="240"/>
    </row>
    <row r="15" spans="1:18" ht="12.75">
      <c r="A15" s="8">
        <v>5</v>
      </c>
      <c r="B15" s="19" t="s">
        <v>477</v>
      </c>
      <c r="C15" s="240"/>
      <c r="D15" s="1019"/>
      <c r="E15" s="1020"/>
      <c r="F15" s="1021"/>
      <c r="G15" s="1028"/>
      <c r="H15" s="1029"/>
      <c r="I15" s="1029"/>
      <c r="J15" s="1029"/>
      <c r="K15" s="1029"/>
      <c r="L15" s="1029"/>
      <c r="M15" s="1029"/>
      <c r="N15" s="1030"/>
      <c r="O15" s="240"/>
      <c r="P15" s="247"/>
      <c r="Q15" s="240"/>
      <c r="R15" s="240"/>
    </row>
    <row r="16" spans="1:18" ht="12.75">
      <c r="A16" s="8">
        <v>6</v>
      </c>
      <c r="B16" s="19" t="s">
        <v>478</v>
      </c>
      <c r="C16" s="240"/>
      <c r="D16" s="1019"/>
      <c r="E16" s="1020"/>
      <c r="F16" s="1021"/>
      <c r="G16" s="240"/>
      <c r="H16" s="240"/>
      <c r="I16" s="240"/>
      <c r="J16" s="240"/>
      <c r="K16" s="240"/>
      <c r="L16" s="240"/>
      <c r="M16" s="240"/>
      <c r="N16" s="240"/>
      <c r="O16" s="240"/>
      <c r="P16" s="247"/>
      <c r="Q16" s="240"/>
      <c r="R16" s="240"/>
    </row>
    <row r="17" spans="1:18" ht="12.75">
      <c r="A17" s="8">
        <v>7</v>
      </c>
      <c r="B17" s="19" t="s">
        <v>479</v>
      </c>
      <c r="C17" s="240"/>
      <c r="D17" s="1019"/>
      <c r="E17" s="1020"/>
      <c r="F17" s="1021"/>
      <c r="G17" s="240"/>
      <c r="H17" s="240"/>
      <c r="I17" s="240"/>
      <c r="J17" s="240"/>
      <c r="K17" s="240"/>
      <c r="L17" s="240"/>
      <c r="M17" s="240"/>
      <c r="N17" s="240"/>
      <c r="O17" s="240"/>
      <c r="P17" s="247"/>
      <c r="Q17" s="240"/>
      <c r="R17" s="240"/>
    </row>
    <row r="18" spans="1:18" ht="12.75">
      <c r="A18" s="8">
        <v>8</v>
      </c>
      <c r="B18" s="19" t="s">
        <v>480</v>
      </c>
      <c r="C18" s="240"/>
      <c r="D18" s="1019"/>
      <c r="E18" s="1020"/>
      <c r="F18" s="1021"/>
      <c r="G18" s="240"/>
      <c r="H18" s="240"/>
      <c r="I18" s="240"/>
      <c r="J18" s="240"/>
      <c r="K18" s="240"/>
      <c r="L18" s="240"/>
      <c r="M18" s="240"/>
      <c r="N18" s="240"/>
      <c r="O18" s="240"/>
      <c r="P18" s="247"/>
      <c r="Q18" s="240"/>
      <c r="R18" s="240"/>
    </row>
    <row r="19" spans="1:18" ht="12.75">
      <c r="A19" s="3"/>
      <c r="B19" s="27" t="s">
        <v>481</v>
      </c>
      <c r="C19" s="240"/>
      <c r="D19" s="1019"/>
      <c r="E19" s="1020"/>
      <c r="F19" s="1021"/>
      <c r="G19" s="240"/>
      <c r="H19" s="240"/>
      <c r="I19" s="240"/>
      <c r="J19" s="240"/>
      <c r="K19" s="240"/>
      <c r="L19" s="240"/>
      <c r="M19" s="240"/>
      <c r="N19" s="240"/>
      <c r="O19" s="240"/>
      <c r="P19" s="247"/>
      <c r="Q19" s="240"/>
      <c r="R19" s="240"/>
    </row>
    <row r="20" spans="1:5" ht="12.75">
      <c r="A20" s="242"/>
      <c r="B20" s="242"/>
      <c r="C20" s="242"/>
      <c r="D20" s="242"/>
      <c r="E20" s="242"/>
    </row>
    <row r="21" spans="1:3" ht="12.75">
      <c r="A21" s="243" t="s">
        <v>8</v>
      </c>
      <c r="B21" s="244"/>
      <c r="C21" s="244"/>
    </row>
    <row r="22" spans="1:5" ht="12.75">
      <c r="A22" s="244" t="s">
        <v>9</v>
      </c>
      <c r="B22" s="293"/>
      <c r="C22" s="293"/>
      <c r="D22" s="293"/>
      <c r="E22" s="293"/>
    </row>
    <row r="23" spans="1:4" ht="12.75">
      <c r="A23" s="244" t="s">
        <v>10</v>
      </c>
      <c r="B23" s="293"/>
      <c r="C23" s="293"/>
      <c r="D23" s="293"/>
    </row>
    <row r="24" spans="1:3" ht="12.75">
      <c r="A24" s="244"/>
      <c r="B24" s="244"/>
      <c r="C24" s="244"/>
    </row>
    <row r="25" spans="1:18" s="226" customFormat="1" ht="12.75">
      <c r="A25" s="244" t="s">
        <v>12</v>
      </c>
      <c r="B25" s="237"/>
      <c r="C25" s="237"/>
      <c r="D25" s="237"/>
      <c r="E25" s="237"/>
      <c r="F25" s="237"/>
      <c r="G25" s="237"/>
      <c r="H25" s="244"/>
      <c r="I25" s="237"/>
      <c r="J25" s="244"/>
      <c r="K25" s="244"/>
      <c r="L25" s="244"/>
      <c r="M25" s="244"/>
      <c r="N25" s="1008"/>
      <c r="O25" s="1008"/>
      <c r="P25" s="1008"/>
      <c r="Q25" s="1008"/>
      <c r="R25" s="237"/>
    </row>
    <row r="26" spans="1:18" s="226" customFormat="1" ht="12.75" customHeight="1">
      <c r="A26" s="237"/>
      <c r="B26" s="237"/>
      <c r="C26" s="237"/>
      <c r="D26" s="237"/>
      <c r="E26" s="237"/>
      <c r="F26" s="237"/>
      <c r="G26" s="237"/>
      <c r="H26" s="237"/>
      <c r="I26" s="244"/>
      <c r="J26" s="237"/>
      <c r="K26" s="293"/>
      <c r="L26" s="293"/>
      <c r="M26" s="293"/>
      <c r="N26" s="1005" t="s">
        <v>1062</v>
      </c>
      <c r="O26" s="1005"/>
      <c r="P26" s="1005"/>
      <c r="Q26" s="1005"/>
      <c r="R26" s="237"/>
    </row>
    <row r="27" spans="1:18" s="226" customFormat="1" ht="12.75" customHeight="1">
      <c r="A27" s="237"/>
      <c r="B27" s="237"/>
      <c r="C27" s="237"/>
      <c r="D27" s="237"/>
      <c r="E27" s="237"/>
      <c r="F27" s="237"/>
      <c r="G27" s="237"/>
      <c r="H27" s="237"/>
      <c r="I27" s="237"/>
      <c r="J27" s="293"/>
      <c r="K27" s="293"/>
      <c r="L27" s="293"/>
      <c r="M27" s="293"/>
      <c r="N27" s="1005" t="s">
        <v>484</v>
      </c>
      <c r="O27" s="1005"/>
      <c r="P27" s="1005"/>
      <c r="Q27" s="1005"/>
      <c r="R27" s="237"/>
    </row>
    <row r="28" spans="1:18" s="226" customFormat="1" ht="12.75">
      <c r="A28" s="244"/>
      <c r="B28" s="244"/>
      <c r="C28" s="237"/>
      <c r="D28" s="237"/>
      <c r="E28" s="237"/>
      <c r="F28" s="237"/>
      <c r="G28" s="237"/>
      <c r="H28" s="237"/>
      <c r="I28" s="237"/>
      <c r="J28" s="244"/>
      <c r="K28" s="244"/>
      <c r="L28" s="244"/>
      <c r="M28" s="244"/>
      <c r="N28" s="244"/>
      <c r="O28" s="416" t="s">
        <v>80</v>
      </c>
      <c r="P28" s="416"/>
      <c r="Q28" s="417"/>
      <c r="R28" s="237"/>
    </row>
    <row r="30" spans="1:16" ht="12.75">
      <c r="A30" s="1007"/>
      <c r="B30" s="1007"/>
      <c r="C30" s="1007"/>
      <c r="D30" s="1007"/>
      <c r="E30" s="1007"/>
      <c r="F30" s="1007"/>
      <c r="G30" s="1007"/>
      <c r="H30" s="1007"/>
      <c r="I30" s="1007"/>
      <c r="J30" s="1007"/>
      <c r="K30" s="1007"/>
      <c r="L30" s="1007"/>
      <c r="M30" s="1007"/>
      <c r="N30" s="1007"/>
      <c r="O30" s="1007"/>
      <c r="P30" s="1007"/>
    </row>
  </sheetData>
  <sheetProtection/>
  <mergeCells count="30">
    <mergeCell ref="Q8:R8"/>
    <mergeCell ref="D1:G1"/>
    <mergeCell ref="O1:P1"/>
    <mergeCell ref="A2:P2"/>
    <mergeCell ref="A3:P3"/>
    <mergeCell ref="A5:P5"/>
    <mergeCell ref="G8:J8"/>
    <mergeCell ref="A6:P6"/>
    <mergeCell ref="A7:B7"/>
    <mergeCell ref="J7:P7"/>
    <mergeCell ref="C8:C9"/>
    <mergeCell ref="A8:A9"/>
    <mergeCell ref="B8:B9"/>
    <mergeCell ref="D8:F9"/>
    <mergeCell ref="K8:P8"/>
    <mergeCell ref="D10:F10"/>
    <mergeCell ref="D11:F11"/>
    <mergeCell ref="D12:F12"/>
    <mergeCell ref="D13:F13"/>
    <mergeCell ref="D19:F19"/>
    <mergeCell ref="D15:F15"/>
    <mergeCell ref="D18:F18"/>
    <mergeCell ref="D14:F14"/>
    <mergeCell ref="D16:F16"/>
    <mergeCell ref="A30:P30"/>
    <mergeCell ref="N25:Q25"/>
    <mergeCell ref="N26:Q26"/>
    <mergeCell ref="N27:Q27"/>
    <mergeCell ref="D17:F17"/>
    <mergeCell ref="G13:N15"/>
  </mergeCells>
  <printOptions horizontalCentered="1"/>
  <pageMargins left="0.48" right="0.31" top="1.27" bottom="0" header="1.03" footer="0.31496062992125984"/>
  <pageSetup fitToHeight="1" fitToWidth="1" horizontalDpi="600" verticalDpi="600" orientation="landscape" paperSize="9" scale="84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view="pageBreakPreview" zoomScaleSheetLayoutView="100" zoomScalePageLayoutView="0" workbookViewId="0" topLeftCell="A4">
      <selection activeCell="N27" sqref="N27:Q27"/>
    </sheetView>
  </sheetViews>
  <sheetFormatPr defaultColWidth="9.140625" defaultRowHeight="12.75"/>
  <cols>
    <col min="1" max="1" width="5.57421875" style="237" customWidth="1"/>
    <col min="2" max="2" width="11.00390625" style="237" customWidth="1"/>
    <col min="3" max="3" width="13.28125" style="237" customWidth="1"/>
    <col min="4" max="4" width="10.8515625" style="237" customWidth="1"/>
    <col min="5" max="5" width="1.1484375" style="237" customWidth="1"/>
    <col min="6" max="6" width="0.2890625" style="237" hidden="1" customWidth="1"/>
    <col min="7" max="7" width="8.7109375" style="237" customWidth="1"/>
    <col min="8" max="9" width="8.00390625" style="237" customWidth="1"/>
    <col min="10" max="12" width="8.140625" style="237" customWidth="1"/>
    <col min="13" max="13" width="10.140625" style="237" customWidth="1"/>
    <col min="14" max="14" width="11.421875" style="237" customWidth="1"/>
    <col min="15" max="15" width="10.140625" style="237" customWidth="1"/>
    <col min="16" max="16" width="11.28125" style="237" customWidth="1"/>
    <col min="17" max="18" width="12.140625" style="237" customWidth="1"/>
    <col min="19" max="16384" width="9.140625" style="237" customWidth="1"/>
  </cols>
  <sheetData>
    <row r="1" spans="4:16" ht="15">
      <c r="D1" s="1014"/>
      <c r="E1" s="1014"/>
      <c r="F1" s="1014"/>
      <c r="G1" s="1014"/>
      <c r="O1" s="770" t="s">
        <v>739</v>
      </c>
      <c r="P1" s="770"/>
    </row>
    <row r="2" spans="1:16" ht="15.75">
      <c r="A2" s="1013" t="s">
        <v>0</v>
      </c>
      <c r="B2" s="1013"/>
      <c r="C2" s="1013"/>
      <c r="D2" s="1013"/>
      <c r="E2" s="1013"/>
      <c r="F2" s="1013"/>
      <c r="G2" s="1013"/>
      <c r="H2" s="1013"/>
      <c r="I2" s="1013"/>
      <c r="J2" s="1013"/>
      <c r="K2" s="1013"/>
      <c r="L2" s="1013"/>
      <c r="M2" s="1013"/>
      <c r="N2" s="1013"/>
      <c r="O2" s="1013"/>
      <c r="P2" s="1013"/>
    </row>
    <row r="3" spans="1:16" ht="20.25">
      <c r="A3" s="1040" t="s">
        <v>878</v>
      </c>
      <c r="B3" s="1040"/>
      <c r="C3" s="1040"/>
      <c r="D3" s="1040"/>
      <c r="E3" s="1040"/>
      <c r="F3" s="1040"/>
      <c r="G3" s="1040"/>
      <c r="H3" s="1040"/>
      <c r="I3" s="1040"/>
      <c r="J3" s="1040"/>
      <c r="K3" s="1040"/>
      <c r="L3" s="1040"/>
      <c r="M3" s="1040"/>
      <c r="N3" s="1040"/>
      <c r="O3" s="1040"/>
      <c r="P3" s="1040"/>
    </row>
    <row r="5" spans="1:16" s="249" customFormat="1" ht="15">
      <c r="A5" s="1041" t="s">
        <v>946</v>
      </c>
      <c r="B5" s="1041"/>
      <c r="C5" s="1041"/>
      <c r="D5" s="1041"/>
      <c r="E5" s="1041"/>
      <c r="F5" s="1041"/>
      <c r="G5" s="1041"/>
      <c r="H5" s="1041"/>
      <c r="I5" s="1041"/>
      <c r="J5" s="1041"/>
      <c r="K5" s="1041"/>
      <c r="L5" s="1041"/>
      <c r="M5" s="1041"/>
      <c r="N5" s="1041"/>
      <c r="O5" s="1041"/>
      <c r="P5" s="1041"/>
    </row>
    <row r="6" spans="1:16" ht="12.75">
      <c r="A6" s="1007"/>
      <c r="B6" s="1007"/>
      <c r="C6" s="1007"/>
      <c r="D6" s="1007"/>
      <c r="E6" s="1007"/>
      <c r="F6" s="1007"/>
      <c r="G6" s="1007"/>
      <c r="H6" s="1007"/>
      <c r="I6" s="1007"/>
      <c r="J6" s="1007"/>
      <c r="K6" s="1007"/>
      <c r="L6" s="1007"/>
      <c r="M6" s="1007"/>
      <c r="N6" s="1007"/>
      <c r="O6" s="1007"/>
      <c r="P6" s="1007"/>
    </row>
    <row r="7" spans="1:16" ht="12.75">
      <c r="A7" s="668" t="s">
        <v>472</v>
      </c>
      <c r="B7" s="668"/>
      <c r="D7" s="246"/>
      <c r="E7" s="246"/>
      <c r="J7" s="1018"/>
      <c r="K7" s="1018"/>
      <c r="L7" s="1018"/>
      <c r="M7" s="1018"/>
      <c r="N7" s="1018"/>
      <c r="O7" s="1018"/>
      <c r="P7" s="1018"/>
    </row>
    <row r="8" spans="1:18" ht="30.75" customHeight="1">
      <c r="A8" s="1009" t="s">
        <v>500</v>
      </c>
      <c r="B8" s="1009" t="s">
        <v>3</v>
      </c>
      <c r="C8" s="1031" t="s">
        <v>679</v>
      </c>
      <c r="D8" s="1010" t="s">
        <v>81</v>
      </c>
      <c r="E8" s="1033"/>
      <c r="F8" s="1034"/>
      <c r="G8" s="1015" t="s">
        <v>794</v>
      </c>
      <c r="H8" s="1016"/>
      <c r="I8" s="1016"/>
      <c r="J8" s="1017"/>
      <c r="K8" s="1015" t="s">
        <v>786</v>
      </c>
      <c r="L8" s="1016"/>
      <c r="M8" s="1016"/>
      <c r="N8" s="1016"/>
      <c r="O8" s="1016"/>
      <c r="P8" s="1016"/>
      <c r="Q8" s="1009" t="s">
        <v>851</v>
      </c>
      <c r="R8" s="1009"/>
    </row>
    <row r="9" spans="1:18" ht="44.25" customHeight="1">
      <c r="A9" s="1009"/>
      <c r="B9" s="1009"/>
      <c r="C9" s="1032"/>
      <c r="D9" s="1011"/>
      <c r="E9" s="1035"/>
      <c r="F9" s="1036"/>
      <c r="G9" s="445" t="s">
        <v>177</v>
      </c>
      <c r="H9" s="445" t="s">
        <v>110</v>
      </c>
      <c r="I9" s="445" t="s">
        <v>111</v>
      </c>
      <c r="J9" s="445" t="s">
        <v>439</v>
      </c>
      <c r="K9" s="525" t="s">
        <v>16</v>
      </c>
      <c r="L9" s="525" t="s">
        <v>787</v>
      </c>
      <c r="M9" s="525" t="s">
        <v>788</v>
      </c>
      <c r="N9" s="525" t="s">
        <v>789</v>
      </c>
      <c r="O9" s="525" t="s">
        <v>790</v>
      </c>
      <c r="P9" s="525" t="s">
        <v>791</v>
      </c>
      <c r="Q9" s="552" t="s">
        <v>852</v>
      </c>
      <c r="R9" s="552" t="s">
        <v>853</v>
      </c>
    </row>
    <row r="10" spans="1:18" s="244" customFormat="1" ht="12.75">
      <c r="A10" s="239">
        <v>1</v>
      </c>
      <c r="B10" s="239">
        <v>2</v>
      </c>
      <c r="C10" s="239">
        <v>3</v>
      </c>
      <c r="D10" s="1037">
        <v>4</v>
      </c>
      <c r="E10" s="1038"/>
      <c r="F10" s="1039"/>
      <c r="G10" s="239">
        <v>5</v>
      </c>
      <c r="H10" s="239">
        <v>6</v>
      </c>
      <c r="I10" s="239">
        <v>7</v>
      </c>
      <c r="J10" s="239">
        <v>8</v>
      </c>
      <c r="K10" s="525">
        <v>9</v>
      </c>
      <c r="L10" s="525">
        <v>10</v>
      </c>
      <c r="M10" s="525">
        <v>11</v>
      </c>
      <c r="N10" s="525">
        <v>12</v>
      </c>
      <c r="O10" s="525">
        <v>13</v>
      </c>
      <c r="P10" s="525">
        <v>14</v>
      </c>
      <c r="Q10" s="552">
        <v>15</v>
      </c>
      <c r="R10" s="552">
        <v>16</v>
      </c>
    </row>
    <row r="11" spans="1:18" ht="12.75">
      <c r="A11" s="8">
        <v>1</v>
      </c>
      <c r="B11" s="19" t="s">
        <v>473</v>
      </c>
      <c r="C11" s="240"/>
      <c r="D11" s="1019"/>
      <c r="E11" s="1020"/>
      <c r="F11" s="1021"/>
      <c r="G11" s="240"/>
      <c r="H11" s="240"/>
      <c r="I11" s="240"/>
      <c r="J11" s="240"/>
      <c r="K11" s="240"/>
      <c r="L11" s="240"/>
      <c r="M11" s="240"/>
      <c r="N11" s="240"/>
      <c r="O11" s="240"/>
      <c r="P11" s="247"/>
      <c r="Q11" s="240"/>
      <c r="R11" s="240"/>
    </row>
    <row r="12" spans="1:18" ht="12.75">
      <c r="A12" s="8">
        <v>2</v>
      </c>
      <c r="B12" s="19" t="s">
        <v>474</v>
      </c>
      <c r="C12" s="240"/>
      <c r="D12" s="1019"/>
      <c r="E12" s="1020"/>
      <c r="F12" s="1021"/>
      <c r="G12" s="240"/>
      <c r="H12" s="240"/>
      <c r="I12" s="240"/>
      <c r="J12" s="240"/>
      <c r="K12" s="240"/>
      <c r="L12" s="240"/>
      <c r="M12" s="240"/>
      <c r="N12" s="240"/>
      <c r="O12" s="240"/>
      <c r="P12" s="247"/>
      <c r="Q12" s="240"/>
      <c r="R12" s="240"/>
    </row>
    <row r="13" spans="1:18" ht="12.75">
      <c r="A13" s="8">
        <v>3</v>
      </c>
      <c r="B13" s="19" t="s">
        <v>475</v>
      </c>
      <c r="C13" s="240"/>
      <c r="D13" s="1019"/>
      <c r="E13" s="1020"/>
      <c r="F13" s="1021"/>
      <c r="G13" s="1022" t="s">
        <v>507</v>
      </c>
      <c r="H13" s="1023"/>
      <c r="I13" s="1023"/>
      <c r="J13" s="1023"/>
      <c r="K13" s="1023"/>
      <c r="L13" s="1023"/>
      <c r="M13" s="1023"/>
      <c r="N13" s="1024"/>
      <c r="O13" s="240"/>
      <c r="P13" s="247"/>
      <c r="Q13" s="240"/>
      <c r="R13" s="240"/>
    </row>
    <row r="14" spans="1:18" ht="15.75" customHeight="1">
      <c r="A14" s="8">
        <v>4</v>
      </c>
      <c r="B14" s="19" t="s">
        <v>476</v>
      </c>
      <c r="C14" s="240"/>
      <c r="D14" s="1019"/>
      <c r="E14" s="1020"/>
      <c r="F14" s="1021"/>
      <c r="G14" s="1025"/>
      <c r="H14" s="1026"/>
      <c r="I14" s="1026"/>
      <c r="J14" s="1026"/>
      <c r="K14" s="1026"/>
      <c r="L14" s="1026"/>
      <c r="M14" s="1026"/>
      <c r="N14" s="1027"/>
      <c r="O14" s="240"/>
      <c r="P14" s="247"/>
      <c r="Q14" s="240"/>
      <c r="R14" s="240"/>
    </row>
    <row r="15" spans="1:18" ht="12.75">
      <c r="A15" s="8">
        <v>5</v>
      </c>
      <c r="B15" s="19" t="s">
        <v>477</v>
      </c>
      <c r="C15" s="240"/>
      <c r="D15" s="1019"/>
      <c r="E15" s="1020"/>
      <c r="F15" s="1021"/>
      <c r="G15" s="1028"/>
      <c r="H15" s="1029"/>
      <c r="I15" s="1029"/>
      <c r="J15" s="1029"/>
      <c r="K15" s="1029"/>
      <c r="L15" s="1029"/>
      <c r="M15" s="1029"/>
      <c r="N15" s="1030"/>
      <c r="O15" s="240"/>
      <c r="P15" s="247"/>
      <c r="Q15" s="240"/>
      <c r="R15" s="240"/>
    </row>
    <row r="16" spans="1:18" ht="12.75">
      <c r="A16" s="8">
        <v>6</v>
      </c>
      <c r="B16" s="19" t="s">
        <v>478</v>
      </c>
      <c r="C16" s="240"/>
      <c r="D16" s="1019"/>
      <c r="E16" s="1020"/>
      <c r="F16" s="1021"/>
      <c r="G16" s="240"/>
      <c r="H16" s="240"/>
      <c r="I16" s="240"/>
      <c r="J16" s="240"/>
      <c r="K16" s="240"/>
      <c r="L16" s="240"/>
      <c r="M16" s="240"/>
      <c r="N16" s="240"/>
      <c r="O16" s="240"/>
      <c r="P16" s="247"/>
      <c r="Q16" s="240"/>
      <c r="R16" s="240"/>
    </row>
    <row r="17" spans="1:18" ht="12.75">
      <c r="A17" s="8">
        <v>7</v>
      </c>
      <c r="B17" s="19" t="s">
        <v>479</v>
      </c>
      <c r="C17" s="240"/>
      <c r="D17" s="1019"/>
      <c r="E17" s="1020"/>
      <c r="F17" s="1021"/>
      <c r="G17" s="240"/>
      <c r="H17" s="240"/>
      <c r="I17" s="240"/>
      <c r="J17" s="240"/>
      <c r="K17" s="240"/>
      <c r="L17" s="240"/>
      <c r="M17" s="240"/>
      <c r="N17" s="240"/>
      <c r="O17" s="240"/>
      <c r="P17" s="247"/>
      <c r="Q17" s="240"/>
      <c r="R17" s="240"/>
    </row>
    <row r="18" spans="1:18" ht="12.75">
      <c r="A18" s="8">
        <v>8</v>
      </c>
      <c r="B18" s="19" t="s">
        <v>480</v>
      </c>
      <c r="C18" s="240"/>
      <c r="D18" s="1019"/>
      <c r="E18" s="1020"/>
      <c r="F18" s="1021"/>
      <c r="G18" s="240"/>
      <c r="H18" s="240"/>
      <c r="I18" s="240"/>
      <c r="J18" s="240"/>
      <c r="K18" s="240"/>
      <c r="L18" s="240"/>
      <c r="M18" s="240"/>
      <c r="N18" s="240"/>
      <c r="O18" s="240"/>
      <c r="P18" s="247"/>
      <c r="Q18" s="240"/>
      <c r="R18" s="240"/>
    </row>
    <row r="19" spans="1:18" ht="12.75">
      <c r="A19" s="3"/>
      <c r="B19" s="27" t="s">
        <v>481</v>
      </c>
      <c r="C19" s="240"/>
      <c r="D19" s="1019"/>
      <c r="E19" s="1020"/>
      <c r="F19" s="1021"/>
      <c r="G19" s="240"/>
      <c r="H19" s="240"/>
      <c r="I19" s="240"/>
      <c r="J19" s="240"/>
      <c r="K19" s="240"/>
      <c r="L19" s="240"/>
      <c r="M19" s="240"/>
      <c r="N19" s="240"/>
      <c r="O19" s="240"/>
      <c r="P19" s="247"/>
      <c r="Q19" s="240"/>
      <c r="R19" s="240"/>
    </row>
    <row r="20" spans="1:5" ht="12.75">
      <c r="A20" s="242"/>
      <c r="B20" s="242"/>
      <c r="C20" s="242"/>
      <c r="D20" s="242"/>
      <c r="E20" s="242"/>
    </row>
    <row r="21" spans="1:18" s="226" customFormat="1" ht="12.75">
      <c r="A21" s="243" t="s">
        <v>8</v>
      </c>
      <c r="B21" s="478"/>
      <c r="C21" s="478"/>
      <c r="D21" s="242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</row>
    <row r="22" spans="1:18" s="226" customFormat="1" ht="12.75">
      <c r="A22" s="244" t="s">
        <v>9</v>
      </c>
      <c r="B22" s="244"/>
      <c r="C22" s="244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</row>
    <row r="23" spans="1:18" s="226" customFormat="1" ht="12.75">
      <c r="A23" s="244" t="s">
        <v>10</v>
      </c>
      <c r="B23" s="244"/>
      <c r="C23" s="244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</row>
    <row r="24" spans="1:3" ht="12.75">
      <c r="A24" s="244"/>
      <c r="B24" s="244"/>
      <c r="C24" s="244"/>
    </row>
    <row r="25" spans="1:18" s="226" customFormat="1" ht="12.75">
      <c r="A25" s="244" t="s">
        <v>12</v>
      </c>
      <c r="B25" s="237"/>
      <c r="C25" s="237"/>
      <c r="D25" s="237"/>
      <c r="E25" s="237"/>
      <c r="F25" s="237"/>
      <c r="G25" s="237"/>
      <c r="H25" s="244"/>
      <c r="I25" s="237"/>
      <c r="J25" s="244"/>
      <c r="K25" s="244"/>
      <c r="L25" s="244"/>
      <c r="M25" s="244"/>
      <c r="N25" s="1008"/>
      <c r="O25" s="1008"/>
      <c r="P25" s="1008"/>
      <c r="Q25" s="1008"/>
      <c r="R25" s="237"/>
    </row>
    <row r="26" spans="1:18" s="226" customFormat="1" ht="12.75" customHeight="1">
      <c r="A26" s="237"/>
      <c r="B26" s="237"/>
      <c r="C26" s="237"/>
      <c r="D26" s="237"/>
      <c r="E26" s="237"/>
      <c r="F26" s="237"/>
      <c r="G26" s="237"/>
      <c r="H26" s="237"/>
      <c r="I26" s="244"/>
      <c r="J26" s="237"/>
      <c r="K26" s="293"/>
      <c r="L26" s="293"/>
      <c r="M26" s="293"/>
      <c r="N26" s="1005" t="s">
        <v>1062</v>
      </c>
      <c r="O26" s="1005"/>
      <c r="P26" s="1005"/>
      <c r="Q26" s="1005"/>
      <c r="R26" s="237"/>
    </row>
    <row r="27" spans="1:18" s="226" customFormat="1" ht="12.75" customHeight="1">
      <c r="A27" s="237"/>
      <c r="B27" s="237"/>
      <c r="C27" s="237"/>
      <c r="D27" s="237"/>
      <c r="E27" s="237"/>
      <c r="F27" s="237"/>
      <c r="G27" s="237"/>
      <c r="H27" s="237"/>
      <c r="I27" s="237"/>
      <c r="J27" s="293"/>
      <c r="K27" s="293"/>
      <c r="L27" s="293"/>
      <c r="M27" s="293"/>
      <c r="N27" s="1005" t="s">
        <v>484</v>
      </c>
      <c r="O27" s="1005"/>
      <c r="P27" s="1005"/>
      <c r="Q27" s="1005"/>
      <c r="R27" s="237"/>
    </row>
    <row r="28" spans="1:18" s="226" customFormat="1" ht="12.75">
      <c r="A28" s="244"/>
      <c r="B28" s="244"/>
      <c r="C28" s="237"/>
      <c r="D28" s="237"/>
      <c r="E28" s="237"/>
      <c r="F28" s="237"/>
      <c r="G28" s="237"/>
      <c r="H28" s="237"/>
      <c r="I28" s="237"/>
      <c r="J28" s="244"/>
      <c r="K28" s="244"/>
      <c r="L28" s="244"/>
      <c r="M28" s="244"/>
      <c r="N28" s="244"/>
      <c r="O28" s="416" t="s">
        <v>80</v>
      </c>
      <c r="P28" s="416"/>
      <c r="Q28" s="417"/>
      <c r="R28" s="237"/>
    </row>
    <row r="30" spans="1:16" ht="12.75">
      <c r="A30" s="1007"/>
      <c r="B30" s="1007"/>
      <c r="C30" s="1007"/>
      <c r="D30" s="1007"/>
      <c r="E30" s="1007"/>
      <c r="F30" s="1007"/>
      <c r="G30" s="1007"/>
      <c r="H30" s="1007"/>
      <c r="I30" s="1007"/>
      <c r="J30" s="1007"/>
      <c r="K30" s="1007"/>
      <c r="L30" s="1007"/>
      <c r="M30" s="1007"/>
      <c r="N30" s="1007"/>
      <c r="O30" s="1007"/>
      <c r="P30" s="1007"/>
    </row>
  </sheetData>
  <sheetProtection/>
  <mergeCells count="30">
    <mergeCell ref="Q8:R8"/>
    <mergeCell ref="D1:G1"/>
    <mergeCell ref="O1:P1"/>
    <mergeCell ref="A2:P2"/>
    <mergeCell ref="A3:P3"/>
    <mergeCell ref="A5:P5"/>
    <mergeCell ref="J7:P7"/>
    <mergeCell ref="A8:A9"/>
    <mergeCell ref="B8:B9"/>
    <mergeCell ref="C8:C9"/>
    <mergeCell ref="D8:F9"/>
    <mergeCell ref="G8:J8"/>
    <mergeCell ref="A6:P6"/>
    <mergeCell ref="A7:B7"/>
    <mergeCell ref="K8:P8"/>
    <mergeCell ref="D12:F12"/>
    <mergeCell ref="D13:F13"/>
    <mergeCell ref="D14:F14"/>
    <mergeCell ref="D15:F15"/>
    <mergeCell ref="D10:F10"/>
    <mergeCell ref="D11:F11"/>
    <mergeCell ref="G13:N15"/>
    <mergeCell ref="A30:P30"/>
    <mergeCell ref="D16:F16"/>
    <mergeCell ref="D17:F17"/>
    <mergeCell ref="D18:F18"/>
    <mergeCell ref="D19:F19"/>
    <mergeCell ref="N25:Q25"/>
    <mergeCell ref="N26:Q26"/>
    <mergeCell ref="N27:Q27"/>
  </mergeCells>
  <printOptions horizontalCentered="1"/>
  <pageMargins left="0.45" right="0.18" top="1.08" bottom="0" header="0.67" footer="0.31496062992125984"/>
  <pageSetup fitToHeight="1" fitToWidth="1" horizontalDpi="600" verticalDpi="600" orientation="landscape" paperSize="9" scale="91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view="pageBreakPreview" zoomScaleSheetLayoutView="100" zoomScalePageLayoutView="0" workbookViewId="0" topLeftCell="A1">
      <selection activeCell="N27" sqref="N27:Q27"/>
    </sheetView>
  </sheetViews>
  <sheetFormatPr defaultColWidth="9.140625" defaultRowHeight="12.75"/>
  <cols>
    <col min="1" max="1" width="6.57421875" style="237" customWidth="1"/>
    <col min="2" max="2" width="12.00390625" style="237" customWidth="1"/>
    <col min="3" max="3" width="17.28125" style="237" customWidth="1"/>
    <col min="4" max="4" width="10.8515625" style="237" customWidth="1"/>
    <col min="5" max="5" width="2.28125" style="237" customWidth="1"/>
    <col min="6" max="6" width="0.2890625" style="237" hidden="1" customWidth="1"/>
    <col min="7" max="7" width="8.7109375" style="237" customWidth="1"/>
    <col min="8" max="9" width="8.00390625" style="237" customWidth="1"/>
    <col min="10" max="10" width="8.140625" style="237" customWidth="1"/>
    <col min="11" max="11" width="9.28125" style="237" customWidth="1"/>
    <col min="12" max="12" width="10.00390625" style="237" customWidth="1"/>
    <col min="13" max="13" width="10.140625" style="237" customWidth="1"/>
    <col min="14" max="14" width="11.421875" style="237" customWidth="1"/>
    <col min="15" max="15" width="10.8515625" style="237" customWidth="1"/>
    <col min="16" max="16" width="11.421875" style="237" customWidth="1"/>
    <col min="17" max="17" width="11.8515625" style="237" customWidth="1"/>
    <col min="18" max="18" width="14.140625" style="237" customWidth="1"/>
    <col min="19" max="16384" width="9.140625" style="237" customWidth="1"/>
  </cols>
  <sheetData>
    <row r="1" spans="4:16" ht="15">
      <c r="D1" s="1014"/>
      <c r="E1" s="1014"/>
      <c r="F1" s="1014"/>
      <c r="G1" s="1014"/>
      <c r="O1" s="770" t="s">
        <v>740</v>
      </c>
      <c r="P1" s="770"/>
    </row>
    <row r="2" spans="1:16" ht="15.75">
      <c r="A2" s="1013" t="s">
        <v>0</v>
      </c>
      <c r="B2" s="1013"/>
      <c r="C2" s="1013"/>
      <c r="D2" s="1013"/>
      <c r="E2" s="1013"/>
      <c r="F2" s="1013"/>
      <c r="G2" s="1013"/>
      <c r="H2" s="1013"/>
      <c r="I2" s="1013"/>
      <c r="J2" s="1013"/>
      <c r="K2" s="1013"/>
      <c r="L2" s="1013"/>
      <c r="M2" s="1013"/>
      <c r="N2" s="1013"/>
      <c r="O2" s="1013"/>
      <c r="P2" s="1013"/>
    </row>
    <row r="3" spans="1:16" ht="20.25">
      <c r="A3" s="1040" t="s">
        <v>878</v>
      </c>
      <c r="B3" s="1040"/>
      <c r="C3" s="1040"/>
      <c r="D3" s="1040"/>
      <c r="E3" s="1040"/>
      <c r="F3" s="1040"/>
      <c r="G3" s="1040"/>
      <c r="H3" s="1040"/>
      <c r="I3" s="1040"/>
      <c r="J3" s="1040"/>
      <c r="K3" s="1040"/>
      <c r="L3" s="1040"/>
      <c r="M3" s="1040"/>
      <c r="N3" s="1040"/>
      <c r="O3" s="1040"/>
      <c r="P3" s="1040"/>
    </row>
    <row r="5" spans="1:16" s="249" customFormat="1" ht="15">
      <c r="A5" s="1041" t="s">
        <v>947</v>
      </c>
      <c r="B5" s="1041"/>
      <c r="C5" s="1041"/>
      <c r="D5" s="1041"/>
      <c r="E5" s="1041"/>
      <c r="F5" s="1041"/>
      <c r="G5" s="1041"/>
      <c r="H5" s="1041"/>
      <c r="I5" s="1041"/>
      <c r="J5" s="1041"/>
      <c r="K5" s="1041"/>
      <c r="L5" s="1041"/>
      <c r="M5" s="1041"/>
      <c r="N5" s="1041"/>
      <c r="O5" s="1041"/>
      <c r="P5" s="1041"/>
    </row>
    <row r="6" spans="1:16" ht="12.75">
      <c r="A6" s="1007"/>
      <c r="B6" s="1007"/>
      <c r="C6" s="1007"/>
      <c r="D6" s="1007"/>
      <c r="E6" s="1007"/>
      <c r="F6" s="1007"/>
      <c r="G6" s="1007"/>
      <c r="H6" s="1007"/>
      <c r="I6" s="1007"/>
      <c r="J6" s="1007"/>
      <c r="K6" s="1007"/>
      <c r="L6" s="1007"/>
      <c r="M6" s="1007"/>
      <c r="N6" s="1007"/>
      <c r="O6" s="1007"/>
      <c r="P6" s="1007"/>
    </row>
    <row r="7" spans="1:16" ht="12.75">
      <c r="A7" s="668" t="s">
        <v>472</v>
      </c>
      <c r="B7" s="668"/>
      <c r="D7" s="246"/>
      <c r="E7" s="246"/>
      <c r="J7" s="1018"/>
      <c r="K7" s="1018"/>
      <c r="L7" s="1018"/>
      <c r="M7" s="1018"/>
      <c r="N7" s="1018"/>
      <c r="O7" s="1018"/>
      <c r="P7" s="1018"/>
    </row>
    <row r="8" spans="1:18" s="400" customFormat="1" ht="30.75" customHeight="1">
      <c r="A8" s="1009" t="s">
        <v>2</v>
      </c>
      <c r="B8" s="1009" t="s">
        <v>3</v>
      </c>
      <c r="C8" s="1031" t="s">
        <v>679</v>
      </c>
      <c r="D8" s="1010" t="s">
        <v>81</v>
      </c>
      <c r="E8" s="1033"/>
      <c r="F8" s="1034"/>
      <c r="G8" s="1015" t="s">
        <v>794</v>
      </c>
      <c r="H8" s="1016"/>
      <c r="I8" s="1016"/>
      <c r="J8" s="1017"/>
      <c r="K8" s="1015" t="s">
        <v>786</v>
      </c>
      <c r="L8" s="1016"/>
      <c r="M8" s="1016"/>
      <c r="N8" s="1016"/>
      <c r="O8" s="1016"/>
      <c r="P8" s="1016"/>
      <c r="Q8" s="1009" t="s">
        <v>851</v>
      </c>
      <c r="R8" s="1009"/>
    </row>
    <row r="9" spans="1:18" s="400" customFormat="1" ht="44.25" customHeight="1">
      <c r="A9" s="1009"/>
      <c r="B9" s="1009"/>
      <c r="C9" s="1032"/>
      <c r="D9" s="1011"/>
      <c r="E9" s="1035"/>
      <c r="F9" s="1036"/>
      <c r="G9" s="525" t="s">
        <v>177</v>
      </c>
      <c r="H9" s="525" t="s">
        <v>110</v>
      </c>
      <c r="I9" s="525" t="s">
        <v>111</v>
      </c>
      <c r="J9" s="525" t="s">
        <v>439</v>
      </c>
      <c r="K9" s="525" t="s">
        <v>16</v>
      </c>
      <c r="L9" s="525" t="s">
        <v>787</v>
      </c>
      <c r="M9" s="525" t="s">
        <v>788</v>
      </c>
      <c r="N9" s="525" t="s">
        <v>789</v>
      </c>
      <c r="O9" s="525" t="s">
        <v>790</v>
      </c>
      <c r="P9" s="525" t="s">
        <v>791</v>
      </c>
      <c r="Q9" s="552" t="s">
        <v>852</v>
      </c>
      <c r="R9" s="552" t="s">
        <v>853</v>
      </c>
    </row>
    <row r="10" spans="1:18" s="244" customFormat="1" ht="12.75">
      <c r="A10" s="239">
        <v>1</v>
      </c>
      <c r="B10" s="239">
        <v>2</v>
      </c>
      <c r="C10" s="239">
        <v>3</v>
      </c>
      <c r="D10" s="1037">
        <v>4</v>
      </c>
      <c r="E10" s="1038"/>
      <c r="F10" s="1039"/>
      <c r="G10" s="239">
        <v>5</v>
      </c>
      <c r="H10" s="239">
        <v>6</v>
      </c>
      <c r="I10" s="239">
        <v>7</v>
      </c>
      <c r="J10" s="239">
        <v>8</v>
      </c>
      <c r="K10" s="525">
        <v>9</v>
      </c>
      <c r="L10" s="525">
        <v>10</v>
      </c>
      <c r="M10" s="525">
        <v>11</v>
      </c>
      <c r="N10" s="525">
        <v>12</v>
      </c>
      <c r="O10" s="525">
        <v>13</v>
      </c>
      <c r="P10" s="525">
        <v>14</v>
      </c>
      <c r="Q10" s="552">
        <v>15</v>
      </c>
      <c r="R10" s="552">
        <v>16</v>
      </c>
    </row>
    <row r="11" spans="1:18" ht="12.75">
      <c r="A11" s="8">
        <v>1</v>
      </c>
      <c r="B11" s="19" t="s">
        <v>473</v>
      </c>
      <c r="C11" s="240"/>
      <c r="D11" s="1019"/>
      <c r="E11" s="1020"/>
      <c r="F11" s="1021"/>
      <c r="G11" s="240"/>
      <c r="H11" s="240"/>
      <c r="I11" s="240"/>
      <c r="J11" s="240"/>
      <c r="K11" s="240"/>
      <c r="L11" s="240"/>
      <c r="M11" s="240"/>
      <c r="N11" s="240"/>
      <c r="O11" s="240"/>
      <c r="P11" s="247"/>
      <c r="Q11" s="240"/>
      <c r="R11" s="240"/>
    </row>
    <row r="12" spans="1:18" ht="12.75">
      <c r="A12" s="8">
        <v>2</v>
      </c>
      <c r="B12" s="19" t="s">
        <v>474</v>
      </c>
      <c r="C12" s="240"/>
      <c r="D12" s="1019"/>
      <c r="E12" s="1020"/>
      <c r="F12" s="1021"/>
      <c r="G12" s="240"/>
      <c r="H12" s="240"/>
      <c r="I12" s="240"/>
      <c r="J12" s="240"/>
      <c r="K12" s="240"/>
      <c r="L12" s="240"/>
      <c r="M12" s="240"/>
      <c r="N12" s="240"/>
      <c r="O12" s="240"/>
      <c r="P12" s="247"/>
      <c r="Q12" s="240"/>
      <c r="R12" s="240"/>
    </row>
    <row r="13" spans="1:18" ht="12.75">
      <c r="A13" s="8">
        <v>3</v>
      </c>
      <c r="B13" s="19" t="s">
        <v>475</v>
      </c>
      <c r="C13" s="240"/>
      <c r="D13" s="1019"/>
      <c r="E13" s="1020"/>
      <c r="F13" s="1021"/>
      <c r="G13" s="1022" t="s">
        <v>507</v>
      </c>
      <c r="H13" s="1023"/>
      <c r="I13" s="1023"/>
      <c r="J13" s="1023"/>
      <c r="K13" s="1023"/>
      <c r="L13" s="1023"/>
      <c r="M13" s="1023"/>
      <c r="N13" s="1024"/>
      <c r="O13" s="240"/>
      <c r="P13" s="247"/>
      <c r="Q13" s="240"/>
      <c r="R13" s="240"/>
    </row>
    <row r="14" spans="1:18" ht="12.75">
      <c r="A14" s="8">
        <v>4</v>
      </c>
      <c r="B14" s="19" t="s">
        <v>476</v>
      </c>
      <c r="C14" s="240"/>
      <c r="D14" s="1019"/>
      <c r="E14" s="1020"/>
      <c r="F14" s="1021"/>
      <c r="G14" s="1025"/>
      <c r="H14" s="1026"/>
      <c r="I14" s="1026"/>
      <c r="J14" s="1026"/>
      <c r="K14" s="1026"/>
      <c r="L14" s="1026"/>
      <c r="M14" s="1026"/>
      <c r="N14" s="1027"/>
      <c r="O14" s="240"/>
      <c r="P14" s="247"/>
      <c r="Q14" s="240"/>
      <c r="R14" s="240"/>
    </row>
    <row r="15" spans="1:18" ht="12.75">
      <c r="A15" s="8">
        <v>5</v>
      </c>
      <c r="B15" s="19" t="s">
        <v>477</v>
      </c>
      <c r="C15" s="240"/>
      <c r="D15" s="1019"/>
      <c r="E15" s="1020"/>
      <c r="F15" s="1021"/>
      <c r="G15" s="1028"/>
      <c r="H15" s="1029"/>
      <c r="I15" s="1029"/>
      <c r="J15" s="1029"/>
      <c r="K15" s="1029"/>
      <c r="L15" s="1029"/>
      <c r="M15" s="1029"/>
      <c r="N15" s="1030"/>
      <c r="O15" s="240"/>
      <c r="P15" s="247"/>
      <c r="Q15" s="240"/>
      <c r="R15" s="240"/>
    </row>
    <row r="16" spans="1:18" ht="12.75">
      <c r="A16" s="8">
        <v>6</v>
      </c>
      <c r="B16" s="19" t="s">
        <v>478</v>
      </c>
      <c r="C16" s="240"/>
      <c r="D16" s="1019"/>
      <c r="E16" s="1020"/>
      <c r="F16" s="1021"/>
      <c r="G16" s="240"/>
      <c r="H16" s="240"/>
      <c r="I16" s="240"/>
      <c r="J16" s="240"/>
      <c r="K16" s="240"/>
      <c r="L16" s="240"/>
      <c r="M16" s="240"/>
      <c r="N16" s="240"/>
      <c r="O16" s="240"/>
      <c r="P16" s="247"/>
      <c r="Q16" s="240"/>
      <c r="R16" s="240"/>
    </row>
    <row r="17" spans="1:18" ht="12.75">
      <c r="A17" s="8">
        <v>7</v>
      </c>
      <c r="B17" s="19" t="s">
        <v>479</v>
      </c>
      <c r="C17" s="240"/>
      <c r="D17" s="1019"/>
      <c r="E17" s="1020"/>
      <c r="F17" s="1021"/>
      <c r="G17" s="240"/>
      <c r="H17" s="240"/>
      <c r="I17" s="240"/>
      <c r="J17" s="240"/>
      <c r="K17" s="240"/>
      <c r="L17" s="240"/>
      <c r="M17" s="240"/>
      <c r="N17" s="240"/>
      <c r="O17" s="240"/>
      <c r="P17" s="247"/>
      <c r="Q17" s="240"/>
      <c r="R17" s="240"/>
    </row>
    <row r="18" spans="1:18" ht="12.75">
      <c r="A18" s="8">
        <v>8</v>
      </c>
      <c r="B18" s="19" t="s">
        <v>480</v>
      </c>
      <c r="C18" s="240"/>
      <c r="D18" s="1019"/>
      <c r="E18" s="1020"/>
      <c r="F18" s="1021"/>
      <c r="G18" s="240"/>
      <c r="H18" s="240"/>
      <c r="I18" s="240"/>
      <c r="J18" s="240"/>
      <c r="K18" s="240"/>
      <c r="L18" s="240"/>
      <c r="M18" s="240"/>
      <c r="N18" s="240"/>
      <c r="O18" s="240"/>
      <c r="P18" s="247"/>
      <c r="Q18" s="240"/>
      <c r="R18" s="240"/>
    </row>
    <row r="19" spans="1:18" ht="12.75">
      <c r="A19" s="3"/>
      <c r="B19" s="27" t="s">
        <v>481</v>
      </c>
      <c r="C19" s="240"/>
      <c r="D19" s="1019"/>
      <c r="E19" s="1020"/>
      <c r="F19" s="1021"/>
      <c r="G19" s="240"/>
      <c r="H19" s="240"/>
      <c r="I19" s="240"/>
      <c r="J19" s="240"/>
      <c r="K19" s="240"/>
      <c r="L19" s="240"/>
      <c r="M19" s="240"/>
      <c r="N19" s="240"/>
      <c r="O19" s="240"/>
      <c r="P19" s="247"/>
      <c r="Q19" s="240"/>
      <c r="R19" s="240"/>
    </row>
    <row r="20" spans="1:5" ht="12.75">
      <c r="A20" s="242"/>
      <c r="B20" s="242"/>
      <c r="C20" s="242"/>
      <c r="D20" s="242"/>
      <c r="E20" s="242"/>
    </row>
    <row r="21" spans="1:18" s="226" customFormat="1" ht="12.75">
      <c r="A21" s="243" t="s">
        <v>8</v>
      </c>
      <c r="B21" s="478"/>
      <c r="C21" s="478"/>
      <c r="D21" s="242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</row>
    <row r="22" spans="1:18" s="226" customFormat="1" ht="12.75">
      <c r="A22" s="244" t="s">
        <v>9</v>
      </c>
      <c r="B22" s="244"/>
      <c r="C22" s="244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</row>
    <row r="23" spans="1:18" s="226" customFormat="1" ht="12.75">
      <c r="A23" s="244" t="s">
        <v>10</v>
      </c>
      <c r="B23" s="244"/>
      <c r="C23" s="244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</row>
    <row r="24" spans="1:3" ht="12.75">
      <c r="A24" s="244"/>
      <c r="B24" s="244"/>
      <c r="C24" s="244"/>
    </row>
    <row r="25" spans="1:18" s="226" customFormat="1" ht="12.75" customHeight="1">
      <c r="A25" s="244" t="s">
        <v>12</v>
      </c>
      <c r="B25" s="237"/>
      <c r="C25" s="237"/>
      <c r="D25" s="237"/>
      <c r="E25" s="237"/>
      <c r="F25" s="237"/>
      <c r="G25" s="237"/>
      <c r="H25" s="244"/>
      <c r="I25" s="237"/>
      <c r="J25" s="244"/>
      <c r="K25" s="244"/>
      <c r="L25" s="244"/>
      <c r="M25" s="244"/>
      <c r="N25" s="1008"/>
      <c r="O25" s="1008"/>
      <c r="P25" s="1008"/>
      <c r="Q25" s="1008"/>
      <c r="R25" s="237"/>
    </row>
    <row r="26" spans="1:18" s="226" customFormat="1" ht="12.75" customHeight="1">
      <c r="A26" s="237"/>
      <c r="B26" s="237"/>
      <c r="C26" s="237"/>
      <c r="D26" s="237"/>
      <c r="E26" s="237"/>
      <c r="F26" s="237"/>
      <c r="G26" s="237"/>
      <c r="H26" s="237"/>
      <c r="I26" s="244"/>
      <c r="J26" s="237"/>
      <c r="K26" s="293"/>
      <c r="L26" s="293"/>
      <c r="M26" s="293"/>
      <c r="N26" s="1005" t="s">
        <v>1062</v>
      </c>
      <c r="O26" s="1005"/>
      <c r="P26" s="1005"/>
      <c r="Q26" s="1005"/>
      <c r="R26" s="237"/>
    </row>
    <row r="27" spans="1:18" s="226" customFormat="1" ht="12.75" customHeight="1">
      <c r="A27" s="237"/>
      <c r="B27" s="237"/>
      <c r="C27" s="237"/>
      <c r="D27" s="237"/>
      <c r="E27" s="237"/>
      <c r="F27" s="237"/>
      <c r="G27" s="237"/>
      <c r="H27" s="237"/>
      <c r="I27" s="237"/>
      <c r="J27" s="293"/>
      <c r="K27" s="293"/>
      <c r="L27" s="293"/>
      <c r="M27" s="293"/>
      <c r="N27" s="1005" t="s">
        <v>484</v>
      </c>
      <c r="O27" s="1005"/>
      <c r="P27" s="1005"/>
      <c r="Q27" s="1005"/>
      <c r="R27" s="237"/>
    </row>
    <row r="28" spans="1:18" s="226" customFormat="1" ht="12.75">
      <c r="A28" s="244"/>
      <c r="B28" s="244"/>
      <c r="C28" s="237"/>
      <c r="D28" s="237"/>
      <c r="E28" s="237"/>
      <c r="F28" s="237"/>
      <c r="G28" s="237"/>
      <c r="H28" s="237"/>
      <c r="I28" s="237"/>
      <c r="J28" s="244"/>
      <c r="K28" s="244"/>
      <c r="L28" s="244"/>
      <c r="M28" s="244"/>
      <c r="N28" s="244"/>
      <c r="O28" s="416" t="s">
        <v>80</v>
      </c>
      <c r="P28" s="416"/>
      <c r="Q28" s="417"/>
      <c r="R28" s="237"/>
    </row>
    <row r="30" spans="1:16" ht="12.75">
      <c r="A30" s="1007"/>
      <c r="B30" s="1007"/>
      <c r="C30" s="1007"/>
      <c r="D30" s="1007"/>
      <c r="E30" s="1007"/>
      <c r="F30" s="1007"/>
      <c r="G30" s="1007"/>
      <c r="H30" s="1007"/>
      <c r="I30" s="1007"/>
      <c r="J30" s="1007"/>
      <c r="K30" s="1007"/>
      <c r="L30" s="1007"/>
      <c r="M30" s="1007"/>
      <c r="N30" s="1007"/>
      <c r="O30" s="1007"/>
      <c r="P30" s="1007"/>
    </row>
  </sheetData>
  <sheetProtection/>
  <mergeCells count="30">
    <mergeCell ref="Q8:R8"/>
    <mergeCell ref="G8:J8"/>
    <mergeCell ref="A6:P6"/>
    <mergeCell ref="A7:B7"/>
    <mergeCell ref="K8:P8"/>
    <mergeCell ref="D1:G1"/>
    <mergeCell ref="O1:P1"/>
    <mergeCell ref="A2:P2"/>
    <mergeCell ref="A3:P3"/>
    <mergeCell ref="A5:P5"/>
    <mergeCell ref="D15:F15"/>
    <mergeCell ref="D16:F16"/>
    <mergeCell ref="J7:P7"/>
    <mergeCell ref="D17:F17"/>
    <mergeCell ref="D18:F18"/>
    <mergeCell ref="D14:F14"/>
    <mergeCell ref="D10:F10"/>
    <mergeCell ref="D11:F11"/>
    <mergeCell ref="D13:F13"/>
    <mergeCell ref="G13:N15"/>
    <mergeCell ref="A8:A9"/>
    <mergeCell ref="B8:B9"/>
    <mergeCell ref="C8:C9"/>
    <mergeCell ref="D8:F9"/>
    <mergeCell ref="A30:P30"/>
    <mergeCell ref="N25:Q25"/>
    <mergeCell ref="N26:Q26"/>
    <mergeCell ref="N27:Q27"/>
    <mergeCell ref="D12:F12"/>
    <mergeCell ref="D19:F19"/>
  </mergeCells>
  <printOptions horizontalCentered="1"/>
  <pageMargins left="0.52" right="0.18" top="1.26" bottom="0" header="0.76" footer="0.31496062992125984"/>
  <pageSetup fitToHeight="1" fitToWidth="1" horizontalDpi="600" verticalDpi="600" orientation="landscape" paperSize="9" scale="83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5"/>
  <sheetViews>
    <sheetView view="pageBreakPreview" zoomScale="90" zoomScaleSheetLayoutView="90" zoomScalePageLayoutView="0" workbookViewId="0" topLeftCell="A1">
      <selection activeCell="P24" sqref="P24:S24"/>
    </sheetView>
  </sheetViews>
  <sheetFormatPr defaultColWidth="9.140625" defaultRowHeight="12.75"/>
  <cols>
    <col min="1" max="1" width="5.140625" style="78" customWidth="1"/>
    <col min="2" max="2" width="14.57421875" style="78" customWidth="1"/>
    <col min="3" max="4" width="8.57421875" style="78" customWidth="1"/>
    <col min="5" max="5" width="8.7109375" style="78" customWidth="1"/>
    <col min="6" max="6" width="8.57421875" style="78" customWidth="1"/>
    <col min="7" max="7" width="9.7109375" style="78" customWidth="1"/>
    <col min="8" max="8" width="10.28125" style="78" customWidth="1"/>
    <col min="9" max="9" width="9.7109375" style="78" customWidth="1"/>
    <col min="10" max="10" width="9.00390625" style="78" customWidth="1"/>
    <col min="11" max="11" width="7.00390625" style="78" customWidth="1"/>
    <col min="12" max="12" width="7.28125" style="78" customWidth="1"/>
    <col min="13" max="13" width="7.421875" style="78" customWidth="1"/>
    <col min="14" max="14" width="7.8515625" style="78" customWidth="1"/>
    <col min="15" max="15" width="11.421875" style="78" customWidth="1"/>
    <col min="16" max="16" width="12.28125" style="78" customWidth="1"/>
    <col min="17" max="17" width="11.57421875" style="78" customWidth="1"/>
    <col min="18" max="18" width="19.28125" style="78" customWidth="1"/>
    <col min="19" max="19" width="4.7109375" style="78" customWidth="1"/>
    <col min="20" max="20" width="9.140625" style="78" hidden="1" customWidth="1"/>
    <col min="21" max="16384" width="9.140625" style="78" customWidth="1"/>
  </cols>
  <sheetData>
    <row r="1" spans="1:19" s="16" customFormat="1" ht="15.75">
      <c r="A1" s="700" t="s">
        <v>546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700"/>
      <c r="Q1" s="700"/>
      <c r="R1" s="833" t="s">
        <v>741</v>
      </c>
      <c r="S1" s="833"/>
    </row>
    <row r="2" spans="1:19" s="16" customFormat="1" ht="20.25">
      <c r="A2" s="701" t="s">
        <v>878</v>
      </c>
      <c r="B2" s="701"/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  <c r="Q2" s="701"/>
      <c r="R2" s="701"/>
      <c r="S2" s="701"/>
    </row>
    <row r="3" spans="2:10" s="16" customFormat="1" ht="20.25">
      <c r="B3" s="123"/>
      <c r="C3" s="123"/>
      <c r="D3" s="123"/>
      <c r="E3" s="123"/>
      <c r="F3" s="123"/>
      <c r="G3" s="123"/>
      <c r="H3" s="123"/>
      <c r="I3" s="123"/>
      <c r="J3" s="123"/>
    </row>
    <row r="4" spans="1:20" ht="18">
      <c r="A4" s="1045" t="s">
        <v>948</v>
      </c>
      <c r="B4" s="1045"/>
      <c r="C4" s="1045"/>
      <c r="D4" s="1045"/>
      <c r="E4" s="1045"/>
      <c r="F4" s="1045"/>
      <c r="G4" s="1045"/>
      <c r="H4" s="1045"/>
      <c r="I4" s="1045"/>
      <c r="J4" s="1045"/>
      <c r="K4" s="1045"/>
      <c r="L4" s="1045"/>
      <c r="M4" s="1045"/>
      <c r="N4" s="1045"/>
      <c r="O4" s="1045"/>
      <c r="P4" s="1045"/>
      <c r="Q4" s="1045"/>
      <c r="R4" s="1045"/>
      <c r="S4" s="1045"/>
      <c r="T4" s="1045"/>
    </row>
    <row r="5" spans="1:2" ht="15">
      <c r="A5" s="668" t="s">
        <v>472</v>
      </c>
      <c r="B5" s="668"/>
    </row>
    <row r="6" ht="15">
      <c r="B6" s="81"/>
    </row>
    <row r="7" spans="1:18" s="301" customFormat="1" ht="38.25" customHeight="1">
      <c r="A7" s="674" t="s">
        <v>488</v>
      </c>
      <c r="B7" s="1046" t="s">
        <v>3</v>
      </c>
      <c r="C7" s="1049" t="s">
        <v>239</v>
      </c>
      <c r="D7" s="1049"/>
      <c r="E7" s="1049"/>
      <c r="F7" s="1049"/>
      <c r="G7" s="1042" t="s">
        <v>919</v>
      </c>
      <c r="H7" s="1043"/>
      <c r="I7" s="1043"/>
      <c r="J7" s="1044"/>
      <c r="K7" s="1042" t="s">
        <v>203</v>
      </c>
      <c r="L7" s="1043"/>
      <c r="M7" s="1043"/>
      <c r="N7" s="1044"/>
      <c r="O7" s="1042" t="s">
        <v>103</v>
      </c>
      <c r="P7" s="1043"/>
      <c r="Q7" s="1043"/>
      <c r="R7" s="1048"/>
    </row>
    <row r="8" spans="1:19" s="301" customFormat="1" ht="38.25" customHeight="1">
      <c r="A8" s="674"/>
      <c r="B8" s="1047"/>
      <c r="C8" s="299" t="s">
        <v>89</v>
      </c>
      <c r="D8" s="299" t="s">
        <v>93</v>
      </c>
      <c r="E8" s="299" t="s">
        <v>94</v>
      </c>
      <c r="F8" s="299" t="s">
        <v>16</v>
      </c>
      <c r="G8" s="299" t="s">
        <v>89</v>
      </c>
      <c r="H8" s="299" t="s">
        <v>93</v>
      </c>
      <c r="I8" s="299" t="s">
        <v>94</v>
      </c>
      <c r="J8" s="299" t="s">
        <v>16</v>
      </c>
      <c r="K8" s="299" t="s">
        <v>89</v>
      </c>
      <c r="L8" s="299" t="s">
        <v>93</v>
      </c>
      <c r="M8" s="299" t="s">
        <v>94</v>
      </c>
      <c r="N8" s="299" t="s">
        <v>16</v>
      </c>
      <c r="O8" s="299" t="s">
        <v>140</v>
      </c>
      <c r="P8" s="299" t="s">
        <v>141</v>
      </c>
      <c r="Q8" s="472" t="s">
        <v>142</v>
      </c>
      <c r="R8" s="299" t="s">
        <v>143</v>
      </c>
      <c r="S8" s="300"/>
    </row>
    <row r="9" spans="1:18" s="154" customFormat="1" ht="15.75" customHeight="1">
      <c r="A9" s="5">
        <v>1</v>
      </c>
      <c r="B9" s="87">
        <v>2</v>
      </c>
      <c r="C9" s="88">
        <v>3</v>
      </c>
      <c r="D9" s="88">
        <v>4</v>
      </c>
      <c r="E9" s="88">
        <v>5</v>
      </c>
      <c r="F9" s="88">
        <v>6</v>
      </c>
      <c r="G9" s="88">
        <v>7</v>
      </c>
      <c r="H9" s="88">
        <v>8</v>
      </c>
      <c r="I9" s="88">
        <v>9</v>
      </c>
      <c r="J9" s="88">
        <v>10</v>
      </c>
      <c r="K9" s="88">
        <v>11</v>
      </c>
      <c r="L9" s="88">
        <v>12</v>
      </c>
      <c r="M9" s="88">
        <v>13</v>
      </c>
      <c r="N9" s="88">
        <v>14</v>
      </c>
      <c r="O9" s="88">
        <v>15</v>
      </c>
      <c r="P9" s="88">
        <v>16</v>
      </c>
      <c r="Q9" s="88">
        <v>17</v>
      </c>
      <c r="R9" s="87">
        <v>18</v>
      </c>
    </row>
    <row r="10" spans="1:18" ht="15">
      <c r="A10" s="8">
        <v>1</v>
      </c>
      <c r="B10" s="19" t="s">
        <v>473</v>
      </c>
      <c r="C10" s="83">
        <v>844</v>
      </c>
      <c r="D10" s="83">
        <f>'AT3A_cvrg(Insti)_PY'!D12+'AT3C_cvrg(Insti)_UPY '!D11</f>
        <v>41</v>
      </c>
      <c r="E10" s="83">
        <v>0</v>
      </c>
      <c r="F10" s="83">
        <f>C10+D10+E10</f>
        <v>885</v>
      </c>
      <c r="G10" s="83">
        <f>J10-H10</f>
        <v>732</v>
      </c>
      <c r="H10" s="83">
        <f>D10</f>
        <v>41</v>
      </c>
      <c r="I10" s="83">
        <v>0</v>
      </c>
      <c r="J10" s="83">
        <f>'AT11A_KS-District wise'!E12</f>
        <v>773</v>
      </c>
      <c r="K10" s="83">
        <f>'AT11A_KS-District wise'!K12</f>
        <v>88</v>
      </c>
      <c r="L10" s="83">
        <v>0</v>
      </c>
      <c r="M10" s="83">
        <v>0</v>
      </c>
      <c r="N10" s="83">
        <f>K10+L10+M10</f>
        <v>88</v>
      </c>
      <c r="O10" s="83">
        <f>C10-(G10+K10)</f>
        <v>24</v>
      </c>
      <c r="P10" s="83">
        <f>D10-(H10+L10)</f>
        <v>0</v>
      </c>
      <c r="Q10" s="83">
        <f>E10-(I10+M10)</f>
        <v>0</v>
      </c>
      <c r="R10" s="83">
        <f>F10-(J10+N10)</f>
        <v>24</v>
      </c>
    </row>
    <row r="11" spans="1:18" ht="15">
      <c r="A11" s="8">
        <v>2</v>
      </c>
      <c r="B11" s="19" t="s">
        <v>474</v>
      </c>
      <c r="C11" s="83">
        <v>801</v>
      </c>
      <c r="D11" s="83">
        <f>'AT3A_cvrg(Insti)_PY'!D13+'AT3C_cvrg(Insti)_UPY '!D12</f>
        <v>2</v>
      </c>
      <c r="E11" s="83">
        <v>0</v>
      </c>
      <c r="F11" s="83">
        <f aca="true" t="shared" si="0" ref="F11:F17">C11+D11+E11</f>
        <v>803</v>
      </c>
      <c r="G11" s="83">
        <f aca="true" t="shared" si="1" ref="G11:G17">J11-H11</f>
        <v>741</v>
      </c>
      <c r="H11" s="83">
        <f aca="true" t="shared" si="2" ref="H11:H17">D11</f>
        <v>2</v>
      </c>
      <c r="I11" s="83">
        <v>0</v>
      </c>
      <c r="J11" s="83">
        <f>'AT11A_KS-District wise'!E13</f>
        <v>743</v>
      </c>
      <c r="K11" s="83">
        <f>'AT11A_KS-District wise'!K13</f>
        <v>29</v>
      </c>
      <c r="L11" s="83">
        <v>0</v>
      </c>
      <c r="M11" s="83">
        <v>0</v>
      </c>
      <c r="N11" s="83">
        <f aca="true" t="shared" si="3" ref="N11:N17">K11+L11+M11</f>
        <v>29</v>
      </c>
      <c r="O11" s="83">
        <f aca="true" t="shared" si="4" ref="O11:O17">C11-(G11+K11)</f>
        <v>31</v>
      </c>
      <c r="P11" s="83">
        <f aca="true" t="shared" si="5" ref="P11:P17">D11-(H11+L11)</f>
        <v>0</v>
      </c>
      <c r="Q11" s="83">
        <f aca="true" t="shared" si="6" ref="Q11:Q17">E11-(I11+M11)</f>
        <v>0</v>
      </c>
      <c r="R11" s="83">
        <f aca="true" t="shared" si="7" ref="R11:R17">F11-(J11+N11)</f>
        <v>31</v>
      </c>
    </row>
    <row r="12" spans="1:18" ht="15">
      <c r="A12" s="8">
        <v>3</v>
      </c>
      <c r="B12" s="19" t="s">
        <v>475</v>
      </c>
      <c r="C12" s="83">
        <v>664</v>
      </c>
      <c r="D12" s="83">
        <f>'AT3A_cvrg(Insti)_PY'!D14+'AT3C_cvrg(Insti)_UPY '!D13</f>
        <v>7</v>
      </c>
      <c r="E12" s="83">
        <v>0</v>
      </c>
      <c r="F12" s="83">
        <f t="shared" si="0"/>
        <v>671</v>
      </c>
      <c r="G12" s="83">
        <f t="shared" si="1"/>
        <v>565</v>
      </c>
      <c r="H12" s="83">
        <f t="shared" si="2"/>
        <v>7</v>
      </c>
      <c r="I12" s="83">
        <v>0</v>
      </c>
      <c r="J12" s="83">
        <f>'AT11A_KS-District wise'!E14</f>
        <v>572</v>
      </c>
      <c r="K12" s="83">
        <f>'AT11A_KS-District wise'!K14</f>
        <v>54</v>
      </c>
      <c r="L12" s="83">
        <v>0</v>
      </c>
      <c r="M12" s="83">
        <v>0</v>
      </c>
      <c r="N12" s="83">
        <f t="shared" si="3"/>
        <v>54</v>
      </c>
      <c r="O12" s="83">
        <f t="shared" si="4"/>
        <v>45</v>
      </c>
      <c r="P12" s="83">
        <f t="shared" si="5"/>
        <v>0</v>
      </c>
      <c r="Q12" s="83">
        <f t="shared" si="6"/>
        <v>0</v>
      </c>
      <c r="R12" s="83">
        <f t="shared" si="7"/>
        <v>45</v>
      </c>
    </row>
    <row r="13" spans="1:18" ht="15">
      <c r="A13" s="8">
        <v>4</v>
      </c>
      <c r="B13" s="19" t="s">
        <v>476</v>
      </c>
      <c r="C13" s="83">
        <v>796</v>
      </c>
      <c r="D13" s="83">
        <f>'AT3A_cvrg(Insti)_PY'!D15+'AT3C_cvrg(Insti)_UPY '!D14</f>
        <v>2</v>
      </c>
      <c r="E13" s="83">
        <v>0</v>
      </c>
      <c r="F13" s="83">
        <f t="shared" si="0"/>
        <v>798</v>
      </c>
      <c r="G13" s="83">
        <f t="shared" si="1"/>
        <v>662</v>
      </c>
      <c r="H13" s="83">
        <f t="shared" si="2"/>
        <v>2</v>
      </c>
      <c r="I13" s="83">
        <v>0</v>
      </c>
      <c r="J13" s="83">
        <f>'AT11A_KS-District wise'!E15</f>
        <v>664</v>
      </c>
      <c r="K13" s="83">
        <f>'AT11A_KS-District wise'!K15</f>
        <v>105</v>
      </c>
      <c r="L13" s="83">
        <v>0</v>
      </c>
      <c r="M13" s="83">
        <v>0</v>
      </c>
      <c r="N13" s="83">
        <f t="shared" si="3"/>
        <v>105</v>
      </c>
      <c r="O13" s="83">
        <f t="shared" si="4"/>
        <v>29</v>
      </c>
      <c r="P13" s="83">
        <f t="shared" si="5"/>
        <v>0</v>
      </c>
      <c r="Q13" s="83">
        <f t="shared" si="6"/>
        <v>0</v>
      </c>
      <c r="R13" s="83">
        <f t="shared" si="7"/>
        <v>29</v>
      </c>
    </row>
    <row r="14" spans="1:45" s="83" customFormat="1" ht="15">
      <c r="A14" s="8">
        <v>5</v>
      </c>
      <c r="B14" s="19" t="s">
        <v>477</v>
      </c>
      <c r="C14" s="83">
        <v>913</v>
      </c>
      <c r="D14" s="83">
        <f>'AT3A_cvrg(Insti)_PY'!D16+'AT3C_cvrg(Insti)_UPY '!D15</f>
        <v>2</v>
      </c>
      <c r="E14" s="83">
        <v>0</v>
      </c>
      <c r="F14" s="83">
        <f t="shared" si="0"/>
        <v>915</v>
      </c>
      <c r="G14" s="83">
        <f t="shared" si="1"/>
        <v>822</v>
      </c>
      <c r="H14" s="83">
        <f t="shared" si="2"/>
        <v>2</v>
      </c>
      <c r="I14" s="83">
        <v>0</v>
      </c>
      <c r="J14" s="83">
        <f>'AT11A_KS-District wise'!E16</f>
        <v>824</v>
      </c>
      <c r="K14" s="83">
        <f>'AT11A_KS-District wise'!K16</f>
        <v>91</v>
      </c>
      <c r="L14" s="83">
        <v>0</v>
      </c>
      <c r="M14" s="83">
        <v>0</v>
      </c>
      <c r="N14" s="83">
        <f t="shared" si="3"/>
        <v>91</v>
      </c>
      <c r="O14" s="83">
        <f t="shared" si="4"/>
        <v>0</v>
      </c>
      <c r="P14" s="83">
        <f t="shared" si="5"/>
        <v>0</v>
      </c>
      <c r="Q14" s="83">
        <f t="shared" si="6"/>
        <v>0</v>
      </c>
      <c r="R14" s="83">
        <f t="shared" si="7"/>
        <v>0</v>
      </c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</row>
    <row r="15" spans="1:18" s="84" customFormat="1" ht="15">
      <c r="A15" s="8">
        <v>6</v>
      </c>
      <c r="B15" s="19" t="s">
        <v>478</v>
      </c>
      <c r="C15" s="83">
        <v>440</v>
      </c>
      <c r="D15" s="83">
        <f>'AT3A_cvrg(Insti)_PY'!D17+'AT3C_cvrg(Insti)_UPY '!D16</f>
        <v>7</v>
      </c>
      <c r="E15" s="83">
        <v>0</v>
      </c>
      <c r="F15" s="83">
        <f t="shared" si="0"/>
        <v>447</v>
      </c>
      <c r="G15" s="83">
        <f t="shared" si="1"/>
        <v>408</v>
      </c>
      <c r="H15" s="83">
        <f t="shared" si="2"/>
        <v>7</v>
      </c>
      <c r="I15" s="83">
        <v>0</v>
      </c>
      <c r="J15" s="83">
        <f>'AT11A_KS-District wise'!E17</f>
        <v>415</v>
      </c>
      <c r="K15" s="83">
        <f>'AT11A_KS-District wise'!K17</f>
        <v>0</v>
      </c>
      <c r="L15" s="83">
        <v>0</v>
      </c>
      <c r="M15" s="83">
        <v>0</v>
      </c>
      <c r="N15" s="83">
        <f t="shared" si="3"/>
        <v>0</v>
      </c>
      <c r="O15" s="83">
        <f t="shared" si="4"/>
        <v>32</v>
      </c>
      <c r="P15" s="83">
        <f t="shared" si="5"/>
        <v>0</v>
      </c>
      <c r="Q15" s="83">
        <f t="shared" si="6"/>
        <v>0</v>
      </c>
      <c r="R15" s="83">
        <f t="shared" si="7"/>
        <v>32</v>
      </c>
    </row>
    <row r="16" spans="1:18" s="84" customFormat="1" ht="15">
      <c r="A16" s="8">
        <v>7</v>
      </c>
      <c r="B16" s="19" t="s">
        <v>479</v>
      </c>
      <c r="C16" s="83">
        <v>657</v>
      </c>
      <c r="D16" s="537">
        <f>'AT3A_cvrg(Insti)_PY'!D18+'AT3C_cvrg(Insti)_UPY '!D17</f>
        <v>4</v>
      </c>
      <c r="E16" s="83">
        <v>0</v>
      </c>
      <c r="F16" s="83">
        <f t="shared" si="0"/>
        <v>661</v>
      </c>
      <c r="G16" s="83">
        <f t="shared" si="1"/>
        <v>585</v>
      </c>
      <c r="H16" s="83">
        <f t="shared" si="2"/>
        <v>4</v>
      </c>
      <c r="I16" s="83">
        <v>0</v>
      </c>
      <c r="J16" s="83">
        <f>'AT11A_KS-District wise'!E18</f>
        <v>589</v>
      </c>
      <c r="K16" s="83">
        <f>'AT11A_KS-District wise'!K18</f>
        <v>43</v>
      </c>
      <c r="L16" s="83">
        <v>0</v>
      </c>
      <c r="M16" s="83">
        <v>0</v>
      </c>
      <c r="N16" s="83">
        <f t="shared" si="3"/>
        <v>43</v>
      </c>
      <c r="O16" s="83">
        <f t="shared" si="4"/>
        <v>29</v>
      </c>
      <c r="P16" s="83">
        <f t="shared" si="5"/>
        <v>0</v>
      </c>
      <c r="Q16" s="83">
        <f t="shared" si="6"/>
        <v>0</v>
      </c>
      <c r="R16" s="83">
        <f t="shared" si="7"/>
        <v>29</v>
      </c>
    </row>
    <row r="17" spans="1:18" ht="15">
      <c r="A17" s="8">
        <v>8</v>
      </c>
      <c r="B17" s="19" t="s">
        <v>480</v>
      </c>
      <c r="C17" s="83">
        <v>1136</v>
      </c>
      <c r="D17" s="83">
        <f>'AT3A_cvrg(Insti)_PY'!D19+'AT3C_cvrg(Insti)_UPY '!D18</f>
        <v>1</v>
      </c>
      <c r="E17" s="83">
        <v>0</v>
      </c>
      <c r="F17" s="83">
        <f t="shared" si="0"/>
        <v>1137</v>
      </c>
      <c r="G17" s="83">
        <f t="shared" si="1"/>
        <v>984</v>
      </c>
      <c r="H17" s="83">
        <f t="shared" si="2"/>
        <v>1</v>
      </c>
      <c r="I17" s="83">
        <v>0</v>
      </c>
      <c r="J17" s="83">
        <f>'AT11A_KS-District wise'!E19</f>
        <v>985</v>
      </c>
      <c r="K17" s="83">
        <f>'AT11A_KS-District wise'!K19</f>
        <v>152</v>
      </c>
      <c r="L17" s="83">
        <v>0</v>
      </c>
      <c r="M17" s="83">
        <v>0</v>
      </c>
      <c r="N17" s="83">
        <f t="shared" si="3"/>
        <v>152</v>
      </c>
      <c r="O17" s="83">
        <f t="shared" si="4"/>
        <v>0</v>
      </c>
      <c r="P17" s="83">
        <f t="shared" si="5"/>
        <v>0</v>
      </c>
      <c r="Q17" s="83">
        <f t="shared" si="6"/>
        <v>0</v>
      </c>
      <c r="R17" s="83">
        <f t="shared" si="7"/>
        <v>0</v>
      </c>
    </row>
    <row r="18" spans="1:18" ht="15">
      <c r="A18" s="3"/>
      <c r="B18" s="27" t="s">
        <v>481</v>
      </c>
      <c r="C18" s="83">
        <f>SUM(C10:C17)</f>
        <v>6251</v>
      </c>
      <c r="D18" s="83">
        <f aca="true" t="shared" si="8" ref="D18:R18">SUM(D10:D17)</f>
        <v>66</v>
      </c>
      <c r="E18" s="83">
        <f t="shared" si="8"/>
        <v>0</v>
      </c>
      <c r="F18" s="83">
        <f t="shared" si="8"/>
        <v>6317</v>
      </c>
      <c r="G18" s="83">
        <f t="shared" si="8"/>
        <v>5499</v>
      </c>
      <c r="H18" s="83">
        <f t="shared" si="8"/>
        <v>66</v>
      </c>
      <c r="I18" s="83">
        <f t="shared" si="8"/>
        <v>0</v>
      </c>
      <c r="J18" s="83">
        <f t="shared" si="8"/>
        <v>5565</v>
      </c>
      <c r="K18" s="83">
        <f t="shared" si="8"/>
        <v>562</v>
      </c>
      <c r="L18" s="83">
        <f t="shared" si="8"/>
        <v>0</v>
      </c>
      <c r="M18" s="83">
        <f t="shared" si="8"/>
        <v>0</v>
      </c>
      <c r="N18" s="83">
        <f t="shared" si="8"/>
        <v>562</v>
      </c>
      <c r="O18" s="83">
        <f t="shared" si="8"/>
        <v>190</v>
      </c>
      <c r="P18" s="83">
        <f t="shared" si="8"/>
        <v>0</v>
      </c>
      <c r="Q18" s="83">
        <f t="shared" si="8"/>
        <v>0</v>
      </c>
      <c r="R18" s="83">
        <f t="shared" si="8"/>
        <v>190</v>
      </c>
    </row>
    <row r="19" spans="1:18" ht="15">
      <c r="A19" s="12" t="s">
        <v>556</v>
      </c>
      <c r="B19" s="28" t="s">
        <v>810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</row>
    <row r="20" spans="1:18" ht="15">
      <c r="A20" s="12"/>
      <c r="B20" s="28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</row>
    <row r="22" spans="1:19" s="16" customFormat="1" ht="12.75">
      <c r="A22" s="15" t="s">
        <v>12</v>
      </c>
      <c r="G22" s="15"/>
      <c r="H22" s="15"/>
      <c r="K22" s="15"/>
      <c r="L22" s="15"/>
      <c r="M22" s="15"/>
      <c r="N22" s="15"/>
      <c r="O22" s="15"/>
      <c r="P22" s="1008"/>
      <c r="Q22" s="1008"/>
      <c r="R22" s="1008"/>
      <c r="S22" s="1008"/>
    </row>
    <row r="23" spans="10:19" s="16" customFormat="1" ht="12.75" customHeight="1">
      <c r="J23" s="15"/>
      <c r="L23" s="31"/>
      <c r="M23" s="31"/>
      <c r="N23" s="31"/>
      <c r="O23" s="31"/>
      <c r="P23" s="1005" t="s">
        <v>1062</v>
      </c>
      <c r="Q23" s="1005"/>
      <c r="R23" s="1005"/>
      <c r="S23" s="1005"/>
    </row>
    <row r="24" spans="1:19" s="16" customFormat="1" ht="12.75" customHeight="1">
      <c r="A24" s="16" t="s">
        <v>11</v>
      </c>
      <c r="K24" s="31"/>
      <c r="L24" s="31"/>
      <c r="M24" s="31"/>
      <c r="N24" s="31"/>
      <c r="O24" s="31"/>
      <c r="P24" s="1005" t="s">
        <v>484</v>
      </c>
      <c r="Q24" s="1005"/>
      <c r="R24" s="1005"/>
      <c r="S24" s="1005"/>
    </row>
    <row r="25" spans="1:19" s="16" customFormat="1" ht="12.75">
      <c r="A25" s="15"/>
      <c r="B25" s="15"/>
      <c r="K25" s="15"/>
      <c r="L25" s="15"/>
      <c r="M25" s="15"/>
      <c r="N25" s="15"/>
      <c r="O25" s="15"/>
      <c r="P25" s="244"/>
      <c r="Q25" s="416" t="s">
        <v>80</v>
      </c>
      <c r="R25" s="416"/>
      <c r="S25" s="416"/>
    </row>
    <row r="26" spans="3:5" ht="15">
      <c r="C26" s="84"/>
      <c r="D26" s="84"/>
      <c r="E26" s="84"/>
    </row>
    <row r="27" spans="3:5" ht="15">
      <c r="C27" s="84"/>
      <c r="D27" s="84"/>
      <c r="E27" s="84"/>
    </row>
    <row r="28" spans="3:5" ht="15">
      <c r="C28" s="84"/>
      <c r="D28" s="84"/>
      <c r="E28" s="84"/>
    </row>
    <row r="29" spans="3:5" ht="15">
      <c r="C29" s="84"/>
      <c r="D29" s="84"/>
      <c r="E29" s="84"/>
    </row>
    <row r="30" spans="3:5" ht="15">
      <c r="C30" s="84"/>
      <c r="D30" s="84"/>
      <c r="E30" s="84"/>
    </row>
    <row r="31" spans="3:5" ht="15">
      <c r="C31" s="84"/>
      <c r="D31" s="84"/>
      <c r="E31" s="84"/>
    </row>
    <row r="32" spans="3:5" ht="15">
      <c r="C32" s="84"/>
      <c r="D32" s="84"/>
      <c r="E32" s="84"/>
    </row>
    <row r="33" spans="3:5" ht="15">
      <c r="C33" s="84"/>
      <c r="D33" s="84"/>
      <c r="E33" s="84"/>
    </row>
    <row r="34" spans="3:5" ht="15">
      <c r="C34" s="84"/>
      <c r="D34" s="84"/>
      <c r="E34" s="84"/>
    </row>
    <row r="35" spans="3:5" ht="15">
      <c r="C35" s="84"/>
      <c r="D35" s="84"/>
      <c r="E35" s="84"/>
    </row>
  </sheetData>
  <sheetProtection/>
  <mergeCells count="14">
    <mergeCell ref="P23:S23"/>
    <mergeCell ref="O7:R7"/>
    <mergeCell ref="R1:S1"/>
    <mergeCell ref="C7:F7"/>
    <mergeCell ref="K7:N7"/>
    <mergeCell ref="G7:J7"/>
    <mergeCell ref="A2:S2"/>
    <mergeCell ref="A4:T4"/>
    <mergeCell ref="P24:S24"/>
    <mergeCell ref="A1:Q1"/>
    <mergeCell ref="A5:B5"/>
    <mergeCell ref="A7:A8"/>
    <mergeCell ref="B7:B8"/>
    <mergeCell ref="P22:S22"/>
  </mergeCells>
  <printOptions horizontalCentered="1"/>
  <pageMargins left="0.48" right="0.3" top="1.43" bottom="0" header="0.88" footer="0.31496062992125984"/>
  <pageSetup fitToHeight="1" fitToWidth="1" horizontalDpi="600" verticalDpi="600" orientation="landscape" paperSize="9" scale="78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6"/>
  <sheetViews>
    <sheetView view="pageBreakPreview" zoomScale="80" zoomScaleSheetLayoutView="80" zoomScalePageLayoutView="0" workbookViewId="0" topLeftCell="A1">
      <selection activeCell="O25" sqref="O25:S25"/>
    </sheetView>
  </sheetViews>
  <sheetFormatPr defaultColWidth="9.140625" defaultRowHeight="12.75"/>
  <cols>
    <col min="1" max="1" width="6.00390625" style="78" customWidth="1"/>
    <col min="2" max="2" width="13.28125" style="78" customWidth="1"/>
    <col min="3" max="3" width="15.421875" style="78" customWidth="1"/>
    <col min="4" max="4" width="12.140625" style="78" customWidth="1"/>
    <col min="5" max="5" width="8.57421875" style="78" customWidth="1"/>
    <col min="6" max="6" width="9.8515625" style="78" customWidth="1"/>
    <col min="7" max="7" width="15.00390625" style="78" customWidth="1"/>
    <col min="8" max="8" width="10.140625" style="78" customWidth="1"/>
    <col min="9" max="9" width="8.140625" style="78" customWidth="1"/>
    <col min="10" max="10" width="14.140625" style="78" customWidth="1"/>
    <col min="11" max="11" width="11.7109375" style="78" customWidth="1"/>
    <col min="12" max="12" width="10.8515625" style="78" customWidth="1"/>
    <col min="13" max="13" width="8.140625" style="78" customWidth="1"/>
    <col min="14" max="14" width="9.57421875" style="78" customWidth="1"/>
    <col min="15" max="15" width="12.7109375" style="78" customWidth="1"/>
    <col min="16" max="16" width="10.00390625" style="78" customWidth="1"/>
    <col min="17" max="17" width="7.8515625" style="78" customWidth="1"/>
    <col min="18" max="18" width="9.28125" style="78" customWidth="1"/>
    <col min="19" max="19" width="12.7109375" style="78" customWidth="1"/>
    <col min="20" max="20" width="12.28125" style="78" customWidth="1"/>
    <col min="21" max="16384" width="9.140625" style="78" customWidth="1"/>
  </cols>
  <sheetData>
    <row r="1" spans="3:19" s="16" customFormat="1" ht="15.75">
      <c r="C1" s="46"/>
      <c r="D1" s="46"/>
      <c r="E1" s="46"/>
      <c r="F1" s="46"/>
      <c r="G1" s="46"/>
      <c r="H1" s="46"/>
      <c r="I1" s="108" t="s">
        <v>0</v>
      </c>
      <c r="J1" s="46"/>
      <c r="P1" s="833" t="s">
        <v>742</v>
      </c>
      <c r="Q1" s="833"/>
      <c r="R1" s="833"/>
      <c r="S1" s="833"/>
    </row>
    <row r="2" spans="7:17" s="16" customFormat="1" ht="20.25">
      <c r="G2" s="701" t="s">
        <v>878</v>
      </c>
      <c r="H2" s="701"/>
      <c r="I2" s="701"/>
      <c r="J2" s="701"/>
      <c r="K2" s="701"/>
      <c r="L2" s="701"/>
      <c r="M2" s="701"/>
      <c r="N2" s="45"/>
      <c r="O2" s="45"/>
      <c r="P2" s="45"/>
      <c r="Q2" s="45"/>
    </row>
    <row r="3" spans="7:17" s="16" customFormat="1" ht="20.25">
      <c r="G3" s="123"/>
      <c r="H3" s="123"/>
      <c r="I3" s="123"/>
      <c r="J3" s="123"/>
      <c r="K3" s="123"/>
      <c r="L3" s="123"/>
      <c r="M3" s="123"/>
      <c r="N3" s="45"/>
      <c r="O3" s="45"/>
      <c r="P3" s="45"/>
      <c r="Q3" s="45"/>
    </row>
    <row r="4" spans="1:20" ht="18">
      <c r="A4" s="1045" t="s">
        <v>949</v>
      </c>
      <c r="B4" s="1045"/>
      <c r="C4" s="1045"/>
      <c r="D4" s="1045"/>
      <c r="E4" s="1045"/>
      <c r="F4" s="1045"/>
      <c r="G4" s="1045"/>
      <c r="H4" s="1045"/>
      <c r="I4" s="1045"/>
      <c r="J4" s="1045"/>
      <c r="K4" s="1045"/>
      <c r="L4" s="1045"/>
      <c r="M4" s="1045"/>
      <c r="N4" s="1045"/>
      <c r="O4" s="1045"/>
      <c r="P4" s="1045"/>
      <c r="Q4" s="1045"/>
      <c r="R4" s="1045"/>
      <c r="S4" s="1045"/>
      <c r="T4" s="608"/>
    </row>
    <row r="5" spans="3:20" ht="15.75">
      <c r="C5" s="79"/>
      <c r="D5" s="80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</row>
    <row r="6" spans="1:2" ht="15">
      <c r="A6" s="668" t="s">
        <v>472</v>
      </c>
      <c r="B6" s="668"/>
    </row>
    <row r="7" spans="2:17" ht="15">
      <c r="B7" s="81"/>
      <c r="Q7" s="115" t="s">
        <v>137</v>
      </c>
    </row>
    <row r="8" spans="1:19" s="301" customFormat="1" ht="32.25" customHeight="1">
      <c r="A8" s="674" t="s">
        <v>488</v>
      </c>
      <c r="B8" s="1046" t="s">
        <v>3</v>
      </c>
      <c r="C8" s="1049" t="s">
        <v>454</v>
      </c>
      <c r="D8" s="1049"/>
      <c r="E8" s="1049"/>
      <c r="F8" s="1049"/>
      <c r="G8" s="1049" t="s">
        <v>537</v>
      </c>
      <c r="H8" s="1049"/>
      <c r="I8" s="1049"/>
      <c r="J8" s="1049"/>
      <c r="K8" s="1049" t="s">
        <v>455</v>
      </c>
      <c r="L8" s="1049"/>
      <c r="M8" s="1049"/>
      <c r="N8" s="1049"/>
      <c r="O8" s="1049" t="s">
        <v>456</v>
      </c>
      <c r="P8" s="1049"/>
      <c r="Q8" s="1049"/>
      <c r="R8" s="1049"/>
      <c r="S8" s="1050" t="s">
        <v>162</v>
      </c>
    </row>
    <row r="9" spans="1:19" s="301" customFormat="1" ht="69" customHeight="1">
      <c r="A9" s="674"/>
      <c r="B9" s="1047"/>
      <c r="C9" s="299" t="s">
        <v>159</v>
      </c>
      <c r="D9" s="303" t="s">
        <v>161</v>
      </c>
      <c r="E9" s="299" t="s">
        <v>136</v>
      </c>
      <c r="F9" s="303" t="s">
        <v>160</v>
      </c>
      <c r="G9" s="299" t="s">
        <v>240</v>
      </c>
      <c r="H9" s="303" t="s">
        <v>161</v>
      </c>
      <c r="I9" s="299" t="s">
        <v>136</v>
      </c>
      <c r="J9" s="303" t="s">
        <v>160</v>
      </c>
      <c r="K9" s="299" t="s">
        <v>240</v>
      </c>
      <c r="L9" s="303" t="s">
        <v>161</v>
      </c>
      <c r="M9" s="299" t="s">
        <v>136</v>
      </c>
      <c r="N9" s="303" t="s">
        <v>160</v>
      </c>
      <c r="O9" s="299" t="s">
        <v>240</v>
      </c>
      <c r="P9" s="302" t="s">
        <v>161</v>
      </c>
      <c r="Q9" s="299" t="s">
        <v>136</v>
      </c>
      <c r="R9" s="302" t="s">
        <v>160</v>
      </c>
      <c r="S9" s="1050"/>
    </row>
    <row r="10" spans="1:19" s="82" customFormat="1" ht="15.75" customHeight="1">
      <c r="A10" s="5">
        <v>1</v>
      </c>
      <c r="B10" s="87">
        <v>2</v>
      </c>
      <c r="C10" s="77">
        <v>3</v>
      </c>
      <c r="D10" s="77">
        <v>4</v>
      </c>
      <c r="E10" s="77">
        <v>5</v>
      </c>
      <c r="F10" s="77">
        <v>6</v>
      </c>
      <c r="G10" s="77">
        <v>7</v>
      </c>
      <c r="H10" s="77">
        <v>8</v>
      </c>
      <c r="I10" s="77">
        <v>9</v>
      </c>
      <c r="J10" s="77">
        <v>10</v>
      </c>
      <c r="K10" s="77">
        <v>11</v>
      </c>
      <c r="L10" s="77">
        <v>12</v>
      </c>
      <c r="M10" s="77">
        <v>13</v>
      </c>
      <c r="N10" s="77">
        <v>14</v>
      </c>
      <c r="O10" s="77">
        <v>15</v>
      </c>
      <c r="P10" s="77">
        <v>16</v>
      </c>
      <c r="Q10" s="77">
        <v>17</v>
      </c>
      <c r="R10" s="77">
        <v>18</v>
      </c>
      <c r="S10" s="126">
        <v>19</v>
      </c>
    </row>
    <row r="11" spans="1:19" ht="15">
      <c r="A11" s="8">
        <v>1</v>
      </c>
      <c r="B11" s="19" t="s">
        <v>473</v>
      </c>
      <c r="C11" s="83">
        <v>0</v>
      </c>
      <c r="D11" s="83">
        <v>0</v>
      </c>
      <c r="E11" s="446">
        <v>2.03182</v>
      </c>
      <c r="F11" s="83">
        <v>0</v>
      </c>
      <c r="G11" s="83">
        <v>0</v>
      </c>
      <c r="H11" s="83">
        <f aca="true" t="shared" si="0" ref="H11:H18">G11</f>
        <v>0</v>
      </c>
      <c r="I11" s="83">
        <v>2.565</v>
      </c>
      <c r="J11" s="392">
        <f aca="true" t="shared" si="1" ref="J11:J18">H11*I11</f>
        <v>0</v>
      </c>
      <c r="K11" s="83">
        <v>0</v>
      </c>
      <c r="L11" s="83">
        <v>0</v>
      </c>
      <c r="M11" s="83">
        <v>2.762</v>
      </c>
      <c r="N11" s="83">
        <v>0</v>
      </c>
      <c r="O11" s="83">
        <v>0</v>
      </c>
      <c r="P11" s="83">
        <v>0</v>
      </c>
      <c r="Q11" s="83">
        <v>2.92</v>
      </c>
      <c r="R11" s="83">
        <v>0</v>
      </c>
      <c r="S11" s="392">
        <f aca="true" t="shared" si="2" ref="S11:S18">J11</f>
        <v>0</v>
      </c>
    </row>
    <row r="12" spans="1:19" ht="15">
      <c r="A12" s="8">
        <v>2</v>
      </c>
      <c r="B12" s="19" t="s">
        <v>474</v>
      </c>
      <c r="C12" s="83">
        <v>0</v>
      </c>
      <c r="D12" s="83">
        <v>0</v>
      </c>
      <c r="E12" s="446">
        <v>2.03182</v>
      </c>
      <c r="F12" s="83">
        <v>0</v>
      </c>
      <c r="G12" s="83">
        <v>0</v>
      </c>
      <c r="H12" s="83">
        <f t="shared" si="0"/>
        <v>0</v>
      </c>
      <c r="I12" s="83">
        <v>2.565</v>
      </c>
      <c r="J12" s="392">
        <f t="shared" si="1"/>
        <v>0</v>
      </c>
      <c r="K12" s="83">
        <v>0</v>
      </c>
      <c r="L12" s="83">
        <v>0</v>
      </c>
      <c r="M12" s="83">
        <v>2.762</v>
      </c>
      <c r="N12" s="83">
        <v>0</v>
      </c>
      <c r="O12" s="83">
        <v>0</v>
      </c>
      <c r="P12" s="83">
        <v>0</v>
      </c>
      <c r="Q12" s="83">
        <v>2.92</v>
      </c>
      <c r="R12" s="83">
        <v>0</v>
      </c>
      <c r="S12" s="392">
        <f t="shared" si="2"/>
        <v>0</v>
      </c>
    </row>
    <row r="13" spans="1:19" ht="15">
      <c r="A13" s="8">
        <v>3</v>
      </c>
      <c r="B13" s="19" t="s">
        <v>475</v>
      </c>
      <c r="C13" s="83">
        <v>0</v>
      </c>
      <c r="D13" s="83">
        <v>0</v>
      </c>
      <c r="E13" s="446">
        <v>2.03182</v>
      </c>
      <c r="F13" s="83">
        <v>0</v>
      </c>
      <c r="G13" s="83">
        <v>0</v>
      </c>
      <c r="H13" s="83">
        <f t="shared" si="0"/>
        <v>0</v>
      </c>
      <c r="I13" s="83">
        <v>2.565</v>
      </c>
      <c r="J13" s="392">
        <f t="shared" si="1"/>
        <v>0</v>
      </c>
      <c r="K13" s="83">
        <v>0</v>
      </c>
      <c r="L13" s="83">
        <v>0</v>
      </c>
      <c r="M13" s="83">
        <v>2.762</v>
      </c>
      <c r="N13" s="83">
        <v>0</v>
      </c>
      <c r="O13" s="83">
        <v>0</v>
      </c>
      <c r="P13" s="83">
        <v>0</v>
      </c>
      <c r="Q13" s="83">
        <v>2.92</v>
      </c>
      <c r="R13" s="83">
        <v>0</v>
      </c>
      <c r="S13" s="392">
        <f t="shared" si="2"/>
        <v>0</v>
      </c>
    </row>
    <row r="14" spans="1:19" ht="15">
      <c r="A14" s="8">
        <v>4</v>
      </c>
      <c r="B14" s="19" t="s">
        <v>476</v>
      </c>
      <c r="C14" s="83">
        <v>0</v>
      </c>
      <c r="D14" s="83">
        <v>0</v>
      </c>
      <c r="E14" s="446">
        <v>2.03182</v>
      </c>
      <c r="F14" s="83">
        <v>0</v>
      </c>
      <c r="G14" s="83">
        <v>0</v>
      </c>
      <c r="H14" s="83">
        <f t="shared" si="0"/>
        <v>0</v>
      </c>
      <c r="I14" s="83">
        <v>2.565</v>
      </c>
      <c r="J14" s="392">
        <f t="shared" si="1"/>
        <v>0</v>
      </c>
      <c r="K14" s="83">
        <v>0</v>
      </c>
      <c r="L14" s="83">
        <v>0</v>
      </c>
      <c r="M14" s="83">
        <v>2.762</v>
      </c>
      <c r="N14" s="83">
        <v>0</v>
      </c>
      <c r="O14" s="83">
        <v>0</v>
      </c>
      <c r="P14" s="83">
        <v>0</v>
      </c>
      <c r="Q14" s="83">
        <v>2.92</v>
      </c>
      <c r="R14" s="83">
        <v>0</v>
      </c>
      <c r="S14" s="392">
        <f t="shared" si="2"/>
        <v>0</v>
      </c>
    </row>
    <row r="15" spans="1:45" s="83" customFormat="1" ht="15">
      <c r="A15" s="8">
        <v>5</v>
      </c>
      <c r="B15" s="19" t="s">
        <v>477</v>
      </c>
      <c r="C15" s="83">
        <v>0</v>
      </c>
      <c r="D15" s="83">
        <v>0</v>
      </c>
      <c r="E15" s="446">
        <v>2.03182</v>
      </c>
      <c r="F15" s="83">
        <v>0</v>
      </c>
      <c r="G15" s="83">
        <v>0</v>
      </c>
      <c r="H15" s="83">
        <f t="shared" si="0"/>
        <v>0</v>
      </c>
      <c r="I15" s="83">
        <v>2.565</v>
      </c>
      <c r="J15" s="392">
        <f t="shared" si="1"/>
        <v>0</v>
      </c>
      <c r="K15" s="83">
        <v>0</v>
      </c>
      <c r="L15" s="83">
        <v>0</v>
      </c>
      <c r="M15" s="83">
        <v>2.762</v>
      </c>
      <c r="N15" s="83">
        <v>0</v>
      </c>
      <c r="O15" s="83">
        <v>0</v>
      </c>
      <c r="P15" s="83">
        <v>0</v>
      </c>
      <c r="Q15" s="83">
        <v>2.92</v>
      </c>
      <c r="R15" s="83">
        <v>0</v>
      </c>
      <c r="S15" s="392">
        <f t="shared" si="2"/>
        <v>0</v>
      </c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</row>
    <row r="16" spans="1:19" s="84" customFormat="1" ht="15">
      <c r="A16" s="8">
        <v>6</v>
      </c>
      <c r="B16" s="19" t="s">
        <v>478</v>
      </c>
      <c r="C16" s="83">
        <v>0</v>
      </c>
      <c r="D16" s="83">
        <v>0</v>
      </c>
      <c r="E16" s="446">
        <v>2.03182</v>
      </c>
      <c r="F16" s="83">
        <v>0</v>
      </c>
      <c r="G16" s="83">
        <v>0</v>
      </c>
      <c r="H16" s="83">
        <f t="shared" si="0"/>
        <v>0</v>
      </c>
      <c r="I16" s="83">
        <v>2.565</v>
      </c>
      <c r="J16" s="392">
        <f t="shared" si="1"/>
        <v>0</v>
      </c>
      <c r="K16" s="83">
        <v>0</v>
      </c>
      <c r="L16" s="83">
        <v>0</v>
      </c>
      <c r="M16" s="83">
        <v>2.762</v>
      </c>
      <c r="N16" s="83">
        <v>0</v>
      </c>
      <c r="O16" s="83">
        <v>0</v>
      </c>
      <c r="P16" s="83">
        <v>0</v>
      </c>
      <c r="Q16" s="83">
        <v>2.92</v>
      </c>
      <c r="R16" s="83">
        <v>0</v>
      </c>
      <c r="S16" s="392">
        <f t="shared" si="2"/>
        <v>0</v>
      </c>
    </row>
    <row r="17" spans="1:19" s="84" customFormat="1" ht="15">
      <c r="A17" s="8">
        <v>7</v>
      </c>
      <c r="B17" s="19" t="s">
        <v>479</v>
      </c>
      <c r="C17" s="83">
        <v>0</v>
      </c>
      <c r="D17" s="83">
        <v>0</v>
      </c>
      <c r="E17" s="446">
        <v>2.03182</v>
      </c>
      <c r="F17" s="83">
        <v>0</v>
      </c>
      <c r="G17" s="83">
        <v>0</v>
      </c>
      <c r="H17" s="83">
        <f t="shared" si="0"/>
        <v>0</v>
      </c>
      <c r="I17" s="83">
        <v>2.565</v>
      </c>
      <c r="J17" s="392">
        <f t="shared" si="1"/>
        <v>0</v>
      </c>
      <c r="K17" s="83">
        <v>0</v>
      </c>
      <c r="L17" s="83">
        <v>0</v>
      </c>
      <c r="M17" s="83">
        <v>2.762</v>
      </c>
      <c r="N17" s="83">
        <v>0</v>
      </c>
      <c r="O17" s="83">
        <v>0</v>
      </c>
      <c r="P17" s="83">
        <v>0</v>
      </c>
      <c r="Q17" s="83">
        <v>2.92</v>
      </c>
      <c r="R17" s="83">
        <v>0</v>
      </c>
      <c r="S17" s="392">
        <f t="shared" si="2"/>
        <v>0</v>
      </c>
    </row>
    <row r="18" spans="1:19" ht="15">
      <c r="A18" s="8">
        <v>8</v>
      </c>
      <c r="B18" s="19" t="s">
        <v>480</v>
      </c>
      <c r="C18" s="83">
        <v>0</v>
      </c>
      <c r="D18" s="83">
        <v>0</v>
      </c>
      <c r="E18" s="446">
        <v>2.03182</v>
      </c>
      <c r="F18" s="83">
        <v>0</v>
      </c>
      <c r="G18" s="83">
        <v>0</v>
      </c>
      <c r="H18" s="83">
        <f t="shared" si="0"/>
        <v>0</v>
      </c>
      <c r="I18" s="83">
        <v>2.565</v>
      </c>
      <c r="J18" s="392">
        <f t="shared" si="1"/>
        <v>0</v>
      </c>
      <c r="K18" s="83">
        <v>0</v>
      </c>
      <c r="L18" s="83">
        <v>0</v>
      </c>
      <c r="M18" s="83">
        <v>2.762</v>
      </c>
      <c r="N18" s="83">
        <v>0</v>
      </c>
      <c r="O18" s="83">
        <v>0</v>
      </c>
      <c r="P18" s="83">
        <v>0</v>
      </c>
      <c r="Q18" s="83">
        <v>2.92</v>
      </c>
      <c r="R18" s="83">
        <v>0</v>
      </c>
      <c r="S18" s="392">
        <f t="shared" si="2"/>
        <v>0</v>
      </c>
    </row>
    <row r="19" spans="1:19" ht="15">
      <c r="A19" s="3"/>
      <c r="B19" s="27" t="s">
        <v>481</v>
      </c>
      <c r="C19" s="83">
        <f>SUM(C11:C18)</f>
        <v>0</v>
      </c>
      <c r="D19" s="83">
        <f>SUM(D11:D18)</f>
        <v>0</v>
      </c>
      <c r="E19" s="83"/>
      <c r="F19" s="83">
        <f>SUM(F11:F18)</f>
        <v>0</v>
      </c>
      <c r="G19" s="83">
        <f aca="true" t="shared" si="3" ref="G19:S19">SUM(G11:G18)</f>
        <v>0</v>
      </c>
      <c r="H19" s="83">
        <f>SUM(H11:H18)</f>
        <v>0</v>
      </c>
      <c r="I19" s="83"/>
      <c r="J19" s="392">
        <f t="shared" si="3"/>
        <v>0</v>
      </c>
      <c r="K19" s="83">
        <f t="shared" si="3"/>
        <v>0</v>
      </c>
      <c r="L19" s="83">
        <f t="shared" si="3"/>
        <v>0</v>
      </c>
      <c r="M19" s="83"/>
      <c r="N19" s="83">
        <f t="shared" si="3"/>
        <v>0</v>
      </c>
      <c r="O19" s="83">
        <f t="shared" si="3"/>
        <v>0</v>
      </c>
      <c r="P19" s="83">
        <f t="shared" si="3"/>
        <v>0</v>
      </c>
      <c r="Q19" s="83"/>
      <c r="R19" s="83">
        <f t="shared" si="3"/>
        <v>0</v>
      </c>
      <c r="S19" s="392">
        <f t="shared" si="3"/>
        <v>0</v>
      </c>
    </row>
    <row r="20" ht="15">
      <c r="A20" s="421" t="s">
        <v>636</v>
      </c>
    </row>
    <row r="21" spans="1:16" ht="15">
      <c r="A21" s="530"/>
      <c r="B21" s="530"/>
      <c r="C21" s="530"/>
      <c r="D21" s="530"/>
      <c r="E21" s="530"/>
      <c r="F21" s="530"/>
      <c r="G21" s="530"/>
      <c r="H21" s="530"/>
      <c r="I21" s="530"/>
      <c r="J21" s="530"/>
      <c r="K21" s="530"/>
      <c r="L21" s="530"/>
      <c r="M21" s="530"/>
      <c r="N21" s="530"/>
      <c r="O21" s="530"/>
      <c r="P21" s="530"/>
    </row>
    <row r="23" spans="1:19" s="16" customFormat="1" ht="12.75" customHeight="1">
      <c r="A23" s="15" t="s">
        <v>12</v>
      </c>
      <c r="G23" s="15"/>
      <c r="H23" s="15"/>
      <c r="K23" s="15"/>
      <c r="L23" s="15"/>
      <c r="M23" s="15"/>
      <c r="N23" s="15"/>
      <c r="O23" s="15"/>
      <c r="P23" s="1008"/>
      <c r="Q23" s="1008"/>
      <c r="R23" s="1008"/>
      <c r="S23" s="1008"/>
    </row>
    <row r="24" spans="8:19" s="16" customFormat="1" ht="12.75" customHeight="1">
      <c r="H24" s="16" t="s">
        <v>11</v>
      </c>
      <c r="J24" s="15"/>
      <c r="L24" s="31"/>
      <c r="M24" s="31"/>
      <c r="N24" s="31"/>
      <c r="O24" s="1005" t="s">
        <v>1062</v>
      </c>
      <c r="P24" s="1005"/>
      <c r="Q24" s="1005"/>
      <c r="R24" s="1005"/>
      <c r="S24" s="1005"/>
    </row>
    <row r="25" spans="11:19" s="16" customFormat="1" ht="12.75" customHeight="1">
      <c r="K25" s="31"/>
      <c r="L25" s="31"/>
      <c r="M25" s="31"/>
      <c r="N25" s="31"/>
      <c r="O25" s="1005" t="s">
        <v>484</v>
      </c>
      <c r="P25" s="1005"/>
      <c r="Q25" s="1005"/>
      <c r="R25" s="1005"/>
      <c r="S25" s="1005"/>
    </row>
    <row r="26" spans="1:19" s="16" customFormat="1" ht="12.75">
      <c r="A26" s="15"/>
      <c r="B26" s="15"/>
      <c r="K26" s="15"/>
      <c r="L26" s="15"/>
      <c r="M26" s="15"/>
      <c r="N26" s="15"/>
      <c r="O26" s="416" t="s">
        <v>80</v>
      </c>
      <c r="P26" s="244"/>
      <c r="R26" s="416"/>
      <c r="S26" s="417"/>
    </row>
  </sheetData>
  <sheetProtection/>
  <mergeCells count="14">
    <mergeCell ref="A4:S4"/>
    <mergeCell ref="P1:S1"/>
    <mergeCell ref="G2:M2"/>
    <mergeCell ref="B8:B9"/>
    <mergeCell ref="C8:F8"/>
    <mergeCell ref="G8:J8"/>
    <mergeCell ref="K8:N8"/>
    <mergeCell ref="S8:S9"/>
    <mergeCell ref="O8:R8"/>
    <mergeCell ref="A6:B6"/>
    <mergeCell ref="O24:S24"/>
    <mergeCell ref="O25:S25"/>
    <mergeCell ref="A8:A9"/>
    <mergeCell ref="P23:S23"/>
  </mergeCells>
  <printOptions horizontalCentered="1"/>
  <pageMargins left="0.55" right="0.24" top="1.21" bottom="0" header="1" footer="0.31496062992125984"/>
  <pageSetup fitToHeight="1" fitToWidth="1" horizontalDpi="600" verticalDpi="600" orientation="landscape" paperSize="9" scale="6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26" sqref="E26:G26"/>
    </sheetView>
  </sheetViews>
  <sheetFormatPr defaultColWidth="9.140625" defaultRowHeight="12.75"/>
  <cols>
    <col min="1" max="1" width="8.00390625" style="78" customWidth="1"/>
    <col min="2" max="2" width="22.7109375" style="78" customWidth="1"/>
    <col min="3" max="3" width="25.140625" style="78" customWidth="1"/>
    <col min="4" max="4" width="33.57421875" style="78" customWidth="1"/>
    <col min="5" max="5" width="18.140625" style="78" customWidth="1"/>
    <col min="6" max="6" width="15.421875" style="78" customWidth="1"/>
    <col min="7" max="7" width="15.7109375" style="78" customWidth="1"/>
    <col min="8" max="8" width="12.28125" style="78" customWidth="1"/>
    <col min="9" max="16384" width="9.140625" style="78" customWidth="1"/>
  </cols>
  <sheetData>
    <row r="1" spans="3:7" s="16" customFormat="1" ht="15">
      <c r="C1" s="46"/>
      <c r="D1" s="46"/>
      <c r="E1" s="46"/>
      <c r="F1" s="833" t="s">
        <v>830</v>
      </c>
      <c r="G1" s="833"/>
    </row>
    <row r="2" spans="1:7" s="16" customFormat="1" ht="12.75">
      <c r="A2" s="676" t="s">
        <v>0</v>
      </c>
      <c r="B2" s="676"/>
      <c r="C2" s="676"/>
      <c r="D2" s="676"/>
      <c r="E2" s="676"/>
      <c r="F2" s="676"/>
      <c r="G2" s="676"/>
    </row>
    <row r="3" spans="1:9" s="16" customFormat="1" ht="20.25">
      <c r="A3" s="701" t="s">
        <v>878</v>
      </c>
      <c r="B3" s="701"/>
      <c r="C3" s="701"/>
      <c r="D3" s="701"/>
      <c r="E3" s="701"/>
      <c r="F3" s="701"/>
      <c r="G3" s="701"/>
      <c r="H3" s="45"/>
      <c r="I3" s="45"/>
    </row>
    <row r="4" s="16" customFormat="1" ht="7.5" customHeight="1">
      <c r="G4" s="123"/>
    </row>
    <row r="5" spans="1:8" ht="18">
      <c r="A5" s="1052" t="s">
        <v>831</v>
      </c>
      <c r="B5" s="1052"/>
      <c r="C5" s="1052"/>
      <c r="D5" s="1052"/>
      <c r="E5" s="1052"/>
      <c r="F5" s="1052"/>
      <c r="G5" s="1052"/>
      <c r="H5" s="563"/>
    </row>
    <row r="6" spans="3:8" ht="15.75">
      <c r="C6" s="79"/>
      <c r="D6" s="80"/>
      <c r="E6" s="79"/>
      <c r="F6" s="79"/>
      <c r="G6" s="79"/>
      <c r="H6" s="79"/>
    </row>
    <row r="7" ht="15">
      <c r="A7" s="556" t="s">
        <v>854</v>
      </c>
    </row>
    <row r="8" ht="15">
      <c r="B8" s="557"/>
    </row>
    <row r="9" spans="1:7" s="82" customFormat="1" ht="30.75" customHeight="1">
      <c r="A9" s="999" t="s">
        <v>2</v>
      </c>
      <c r="B9" s="1051" t="s">
        <v>3</v>
      </c>
      <c r="C9" s="1051" t="s">
        <v>1030</v>
      </c>
      <c r="D9" s="1053" t="s">
        <v>1031</v>
      </c>
      <c r="E9" s="1051" t="s">
        <v>832</v>
      </c>
      <c r="F9" s="1051"/>
      <c r="G9" s="1051"/>
    </row>
    <row r="10" spans="1:7" s="82" customFormat="1" ht="36.75" customHeight="1">
      <c r="A10" s="999"/>
      <c r="B10" s="1051"/>
      <c r="C10" s="1051"/>
      <c r="D10" s="1054"/>
      <c r="E10" s="304" t="s">
        <v>833</v>
      </c>
      <c r="F10" s="304" t="s">
        <v>834</v>
      </c>
      <c r="G10" s="304" t="s">
        <v>16</v>
      </c>
    </row>
    <row r="11" spans="1:7" s="82" customFormat="1" ht="15.75" customHeight="1">
      <c r="A11" s="140">
        <v>1</v>
      </c>
      <c r="B11" s="590">
        <v>2</v>
      </c>
      <c r="C11" s="590">
        <v>3</v>
      </c>
      <c r="D11" s="590">
        <v>4</v>
      </c>
      <c r="E11" s="591">
        <v>5</v>
      </c>
      <c r="F11" s="591">
        <v>6</v>
      </c>
      <c r="G11" s="591">
        <v>7</v>
      </c>
    </row>
    <row r="12" spans="1:10" s="82" customFormat="1" ht="15.75" customHeight="1">
      <c r="A12" s="58">
        <v>1</v>
      </c>
      <c r="B12" s="53" t="s">
        <v>473</v>
      </c>
      <c r="C12" s="589">
        <v>141</v>
      </c>
      <c r="D12" s="589">
        <f>C12</f>
        <v>141</v>
      </c>
      <c r="E12" s="592">
        <f>D12*9000/100000</f>
        <v>12.69</v>
      </c>
      <c r="F12" s="592">
        <f>D12*1000/100000</f>
        <v>1.41</v>
      </c>
      <c r="G12" s="592">
        <f>E12+F12</f>
        <v>14.1</v>
      </c>
      <c r="I12" s="587"/>
      <c r="J12" s="587"/>
    </row>
    <row r="13" spans="1:10" s="82" customFormat="1" ht="15.75" customHeight="1">
      <c r="A13" s="58">
        <v>2</v>
      </c>
      <c r="B13" s="53" t="s">
        <v>474</v>
      </c>
      <c r="C13" s="589">
        <v>134</v>
      </c>
      <c r="D13" s="589">
        <f aca="true" t="shared" si="0" ref="D13:D19">C13</f>
        <v>134</v>
      </c>
      <c r="E13" s="592">
        <f aca="true" t="shared" si="1" ref="E13:E19">D13*9000/100000</f>
        <v>12.06</v>
      </c>
      <c r="F13" s="592">
        <f aca="true" t="shared" si="2" ref="F13:F19">D13*1000/100000</f>
        <v>1.34</v>
      </c>
      <c r="G13" s="592">
        <f aca="true" t="shared" si="3" ref="G13:G19">E13+F13</f>
        <v>13.4</v>
      </c>
      <c r="I13" s="587"/>
      <c r="J13" s="587"/>
    </row>
    <row r="14" spans="1:10" s="82" customFormat="1" ht="15.75" customHeight="1">
      <c r="A14" s="58">
        <v>3</v>
      </c>
      <c r="B14" s="53" t="s">
        <v>475</v>
      </c>
      <c r="C14" s="589">
        <v>103</v>
      </c>
      <c r="D14" s="589">
        <f t="shared" si="0"/>
        <v>103</v>
      </c>
      <c r="E14" s="592">
        <f t="shared" si="1"/>
        <v>9.27</v>
      </c>
      <c r="F14" s="592">
        <f t="shared" si="2"/>
        <v>1.03</v>
      </c>
      <c r="G14" s="592">
        <f t="shared" si="3"/>
        <v>10.299999999999999</v>
      </c>
      <c r="I14" s="587"/>
      <c r="J14" s="587"/>
    </row>
    <row r="15" spans="1:10" s="82" customFormat="1" ht="15.75" customHeight="1">
      <c r="A15" s="58">
        <v>4</v>
      </c>
      <c r="B15" s="53" t="s">
        <v>476</v>
      </c>
      <c r="C15" s="589">
        <v>124</v>
      </c>
      <c r="D15" s="589">
        <f t="shared" si="0"/>
        <v>124</v>
      </c>
      <c r="E15" s="592">
        <f t="shared" si="1"/>
        <v>11.16</v>
      </c>
      <c r="F15" s="592">
        <f t="shared" si="2"/>
        <v>1.24</v>
      </c>
      <c r="G15" s="592">
        <f t="shared" si="3"/>
        <v>12.4</v>
      </c>
      <c r="I15" s="587"/>
      <c r="J15" s="587"/>
    </row>
    <row r="16" spans="1:10" s="82" customFormat="1" ht="15.75" customHeight="1">
      <c r="A16" s="58">
        <v>5</v>
      </c>
      <c r="B16" s="53" t="s">
        <v>477</v>
      </c>
      <c r="C16" s="589">
        <v>142</v>
      </c>
      <c r="D16" s="589">
        <f t="shared" si="0"/>
        <v>142</v>
      </c>
      <c r="E16" s="592">
        <f t="shared" si="1"/>
        <v>12.78</v>
      </c>
      <c r="F16" s="592">
        <f t="shared" si="2"/>
        <v>1.42</v>
      </c>
      <c r="G16" s="592">
        <f t="shared" si="3"/>
        <v>14.2</v>
      </c>
      <c r="I16" s="587"/>
      <c r="J16" s="587"/>
    </row>
    <row r="17" spans="1:10" s="82" customFormat="1" ht="15.75" customHeight="1">
      <c r="A17" s="58">
        <v>6</v>
      </c>
      <c r="B17" s="53" t="s">
        <v>478</v>
      </c>
      <c r="C17" s="589">
        <v>72</v>
      </c>
      <c r="D17" s="589">
        <f t="shared" si="0"/>
        <v>72</v>
      </c>
      <c r="E17" s="592">
        <f t="shared" si="1"/>
        <v>6.48</v>
      </c>
      <c r="F17" s="592">
        <f t="shared" si="2"/>
        <v>0.72</v>
      </c>
      <c r="G17" s="592">
        <f t="shared" si="3"/>
        <v>7.2</v>
      </c>
      <c r="I17" s="587"/>
      <c r="J17" s="587"/>
    </row>
    <row r="18" spans="1:10" s="82" customFormat="1" ht="15.75" customHeight="1">
      <c r="A18" s="58">
        <v>7</v>
      </c>
      <c r="B18" s="53" t="s">
        <v>479</v>
      </c>
      <c r="C18" s="589">
        <v>110</v>
      </c>
      <c r="D18" s="589">
        <f t="shared" si="0"/>
        <v>110</v>
      </c>
      <c r="E18" s="592">
        <f t="shared" si="1"/>
        <v>9.9</v>
      </c>
      <c r="F18" s="592">
        <f t="shared" si="2"/>
        <v>1.1</v>
      </c>
      <c r="G18" s="592">
        <f t="shared" si="3"/>
        <v>11</v>
      </c>
      <c r="I18" s="587"/>
      <c r="J18" s="587"/>
    </row>
    <row r="19" spans="1:10" ht="15">
      <c r="A19" s="58">
        <v>8</v>
      </c>
      <c r="B19" s="53" t="s">
        <v>480</v>
      </c>
      <c r="C19" s="589">
        <v>176</v>
      </c>
      <c r="D19" s="589">
        <f t="shared" si="0"/>
        <v>176</v>
      </c>
      <c r="E19" s="592">
        <f t="shared" si="1"/>
        <v>15.84</v>
      </c>
      <c r="F19" s="592">
        <f t="shared" si="2"/>
        <v>1.76</v>
      </c>
      <c r="G19" s="592">
        <f t="shared" si="3"/>
        <v>17.6</v>
      </c>
      <c r="I19" s="587"/>
      <c r="J19" s="587"/>
    </row>
    <row r="20" spans="1:9" ht="15">
      <c r="A20" s="52"/>
      <c r="B20" s="567" t="s">
        <v>481</v>
      </c>
      <c r="C20" s="588">
        <f>SUM(C12:C19)</f>
        <v>1002</v>
      </c>
      <c r="D20" s="588">
        <f>SUM(D12:D19)</f>
        <v>1002</v>
      </c>
      <c r="E20" s="593">
        <f>SUM(E12:E19)</f>
        <v>90.18</v>
      </c>
      <c r="F20" s="593">
        <f>SUM(F12:F19)</f>
        <v>10.02</v>
      </c>
      <c r="G20" s="593">
        <f>SUM(G12:G19)</f>
        <v>100.19999999999999</v>
      </c>
      <c r="I20" s="587"/>
    </row>
    <row r="21" spans="1:7" ht="15">
      <c r="A21" s="421"/>
      <c r="B21" s="84"/>
      <c r="C21" s="84"/>
      <c r="D21" s="84"/>
      <c r="E21" s="84"/>
      <c r="F21" s="84"/>
      <c r="G21" s="84"/>
    </row>
    <row r="22" spans="1:7" s="16" customFormat="1" ht="12.75" customHeight="1">
      <c r="A22" s="15" t="s">
        <v>12</v>
      </c>
      <c r="E22" s="16" t="s">
        <v>11</v>
      </c>
      <c r="G22" s="15"/>
    </row>
    <row r="23" spans="1:2" s="16" customFormat="1" ht="12.75">
      <c r="A23" s="15"/>
      <c r="B23" s="15"/>
    </row>
    <row r="24" spans="6:7" ht="15">
      <c r="F24" s="86"/>
      <c r="G24" s="86"/>
    </row>
    <row r="25" spans="1:10" ht="15">
      <c r="A25" s="15"/>
      <c r="C25" s="31"/>
      <c r="D25" s="31"/>
      <c r="E25" s="1005" t="s">
        <v>1062</v>
      </c>
      <c r="F25" s="1005"/>
      <c r="G25" s="1005"/>
      <c r="H25" s="643"/>
      <c r="I25" s="31"/>
      <c r="J25" s="31"/>
    </row>
    <row r="26" spans="2:10" ht="15">
      <c r="B26" s="31"/>
      <c r="C26" s="31"/>
      <c r="D26" s="31"/>
      <c r="E26" s="1005" t="s">
        <v>484</v>
      </c>
      <c r="F26" s="1005"/>
      <c r="G26" s="1005"/>
      <c r="H26" s="643"/>
      <c r="I26" s="31"/>
      <c r="J26" s="31"/>
    </row>
    <row r="27" spans="1:8" ht="15">
      <c r="A27" s="16"/>
      <c r="B27" s="15"/>
      <c r="C27" s="15"/>
      <c r="D27" s="15"/>
      <c r="E27" s="416" t="s">
        <v>80</v>
      </c>
      <c r="G27" s="416"/>
      <c r="H27" s="417"/>
    </row>
  </sheetData>
  <sheetProtection/>
  <mergeCells count="11">
    <mergeCell ref="F1:G1"/>
    <mergeCell ref="A9:A10"/>
    <mergeCell ref="B9:B10"/>
    <mergeCell ref="C9:C10"/>
    <mergeCell ref="D9:D10"/>
    <mergeCell ref="E9:G9"/>
    <mergeCell ref="A2:G2"/>
    <mergeCell ref="E25:G25"/>
    <mergeCell ref="E26:G26"/>
    <mergeCell ref="A3:G3"/>
    <mergeCell ref="A5:G5"/>
  </mergeCells>
  <printOptions/>
  <pageMargins left="0.7" right="0.21" top="0.75" bottom="0.75" header="0.3" footer="0.3"/>
  <pageSetup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0"/>
  <sheetViews>
    <sheetView view="pageBreakPreview" zoomScale="80" zoomScaleSheetLayoutView="80" zoomScalePageLayoutView="0" workbookViewId="0" topLeftCell="A1">
      <selection activeCell="R28" sqref="R28:V28"/>
    </sheetView>
  </sheetViews>
  <sheetFormatPr defaultColWidth="9.140625" defaultRowHeight="12.75"/>
  <cols>
    <col min="1" max="1" width="7.00390625" style="78" customWidth="1"/>
    <col min="2" max="2" width="12.8515625" style="78" customWidth="1"/>
    <col min="3" max="22" width="9.7109375" style="78" customWidth="1"/>
    <col min="23" max="16384" width="9.140625" style="78" customWidth="1"/>
  </cols>
  <sheetData>
    <row r="1" spans="20:22" ht="15.75">
      <c r="T1" s="1055" t="s">
        <v>743</v>
      </c>
      <c r="U1" s="1055"/>
      <c r="V1" s="1055"/>
    </row>
    <row r="2" spans="1:22" s="16" customFormat="1" ht="15.75">
      <c r="A2" s="700" t="s">
        <v>0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0"/>
      <c r="O2" s="700"/>
      <c r="P2" s="700"/>
      <c r="Q2" s="700"/>
      <c r="R2" s="700"/>
      <c r="S2" s="700"/>
      <c r="T2" s="700"/>
      <c r="U2" s="700"/>
      <c r="V2" s="700"/>
    </row>
    <row r="3" spans="1:22" s="16" customFormat="1" ht="20.25">
      <c r="A3" s="701" t="s">
        <v>878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01"/>
      <c r="S3" s="701"/>
      <c r="T3" s="701"/>
      <c r="U3" s="701"/>
      <c r="V3" s="701"/>
    </row>
    <row r="4" spans="10:22" s="16" customFormat="1" ht="20.25"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</row>
    <row r="5" spans="1:22" ht="15.75">
      <c r="A5" s="702" t="s">
        <v>950</v>
      </c>
      <c r="B5" s="702"/>
      <c r="C5" s="702"/>
      <c r="D5" s="702"/>
      <c r="E5" s="702"/>
      <c r="F5" s="702"/>
      <c r="G5" s="702"/>
      <c r="H5" s="702"/>
      <c r="I5" s="702"/>
      <c r="J5" s="702"/>
      <c r="K5" s="702"/>
      <c r="L5" s="702"/>
      <c r="M5" s="702"/>
      <c r="N5" s="702"/>
      <c r="O5" s="702"/>
      <c r="P5" s="702"/>
      <c r="Q5" s="702"/>
      <c r="R5" s="702"/>
      <c r="S5" s="702"/>
      <c r="T5" s="702"/>
      <c r="U5" s="702"/>
      <c r="V5" s="702"/>
    </row>
    <row r="6" spans="3:22" ht="15">
      <c r="C6" s="79"/>
      <c r="D6" s="79"/>
      <c r="E6" s="79"/>
      <c r="F6" s="79"/>
      <c r="G6" s="79"/>
      <c r="H6" s="79"/>
      <c r="I6" s="79"/>
      <c r="J6" s="79"/>
      <c r="Q6" s="79"/>
      <c r="R6" s="79"/>
      <c r="S6" s="79"/>
      <c r="T6" s="79"/>
      <c r="U6" s="79"/>
      <c r="V6" s="79"/>
    </row>
    <row r="7" spans="1:2" ht="15">
      <c r="A7" s="668" t="s">
        <v>472</v>
      </c>
      <c r="B7" s="668"/>
    </row>
    <row r="8" ht="15">
      <c r="B8" s="557"/>
    </row>
    <row r="9" spans="1:22" s="301" customFormat="1" ht="24.75" customHeight="1">
      <c r="A9" s="674" t="s">
        <v>2</v>
      </c>
      <c r="B9" s="1049" t="s">
        <v>3</v>
      </c>
      <c r="C9" s="1042" t="s">
        <v>836</v>
      </c>
      <c r="D9" s="1043"/>
      <c r="E9" s="1043"/>
      <c r="F9" s="1043"/>
      <c r="G9" s="1042" t="s">
        <v>837</v>
      </c>
      <c r="H9" s="1043"/>
      <c r="I9" s="1043"/>
      <c r="J9" s="1043"/>
      <c r="K9" s="1042" t="s">
        <v>838</v>
      </c>
      <c r="L9" s="1043"/>
      <c r="M9" s="1043"/>
      <c r="N9" s="1043"/>
      <c r="O9" s="1042" t="s">
        <v>839</v>
      </c>
      <c r="P9" s="1043"/>
      <c r="Q9" s="1043"/>
      <c r="R9" s="1043"/>
      <c r="S9" s="1056" t="s">
        <v>16</v>
      </c>
      <c r="T9" s="1057"/>
      <c r="U9" s="1057"/>
      <c r="V9" s="1057"/>
    </row>
    <row r="10" spans="1:22" s="301" customFormat="1" ht="29.25" customHeight="1">
      <c r="A10" s="674"/>
      <c r="B10" s="1049"/>
      <c r="C10" s="1053" t="s">
        <v>840</v>
      </c>
      <c r="D10" s="1058" t="s">
        <v>861</v>
      </c>
      <c r="E10" s="1059"/>
      <c r="F10" s="1060"/>
      <c r="G10" s="1053" t="s">
        <v>840</v>
      </c>
      <c r="H10" s="1058" t="s">
        <v>861</v>
      </c>
      <c r="I10" s="1059"/>
      <c r="J10" s="1060"/>
      <c r="K10" s="1053" t="s">
        <v>840</v>
      </c>
      <c r="L10" s="1058" t="s">
        <v>861</v>
      </c>
      <c r="M10" s="1059"/>
      <c r="N10" s="1060"/>
      <c r="O10" s="1053" t="s">
        <v>840</v>
      </c>
      <c r="P10" s="1058" t="s">
        <v>861</v>
      </c>
      <c r="Q10" s="1059"/>
      <c r="R10" s="1060"/>
      <c r="S10" s="1053" t="s">
        <v>840</v>
      </c>
      <c r="T10" s="1058" t="s">
        <v>861</v>
      </c>
      <c r="U10" s="1059"/>
      <c r="V10" s="1060"/>
    </row>
    <row r="11" spans="1:22" s="301" customFormat="1" ht="46.5" customHeight="1">
      <c r="A11" s="674"/>
      <c r="B11" s="1049"/>
      <c r="C11" s="1054"/>
      <c r="D11" s="304" t="s">
        <v>841</v>
      </c>
      <c r="E11" s="304" t="s">
        <v>198</v>
      </c>
      <c r="F11" s="304" t="s">
        <v>16</v>
      </c>
      <c r="G11" s="1054"/>
      <c r="H11" s="304" t="s">
        <v>841</v>
      </c>
      <c r="I11" s="304" t="s">
        <v>198</v>
      </c>
      <c r="J11" s="304" t="s">
        <v>16</v>
      </c>
      <c r="K11" s="1054"/>
      <c r="L11" s="304" t="s">
        <v>841</v>
      </c>
      <c r="M11" s="304" t="s">
        <v>198</v>
      </c>
      <c r="N11" s="304" t="s">
        <v>16</v>
      </c>
      <c r="O11" s="1054"/>
      <c r="P11" s="304" t="s">
        <v>841</v>
      </c>
      <c r="Q11" s="304" t="s">
        <v>198</v>
      </c>
      <c r="R11" s="304" t="s">
        <v>16</v>
      </c>
      <c r="S11" s="1054"/>
      <c r="T11" s="304" t="s">
        <v>841</v>
      </c>
      <c r="U11" s="304" t="s">
        <v>198</v>
      </c>
      <c r="V11" s="304" t="s">
        <v>16</v>
      </c>
    </row>
    <row r="12" spans="1:22" s="144" customFormat="1" ht="15.75" customHeight="1">
      <c r="A12" s="560">
        <v>1</v>
      </c>
      <c r="B12" s="143">
        <v>2</v>
      </c>
      <c r="C12" s="143">
        <v>3</v>
      </c>
      <c r="D12" s="560">
        <v>4</v>
      </c>
      <c r="E12" s="143">
        <v>5</v>
      </c>
      <c r="F12" s="143">
        <v>6</v>
      </c>
      <c r="G12" s="560">
        <v>7</v>
      </c>
      <c r="H12" s="143">
        <v>8</v>
      </c>
      <c r="I12" s="143">
        <v>9</v>
      </c>
      <c r="J12" s="560">
        <v>10</v>
      </c>
      <c r="K12" s="143">
        <v>11</v>
      </c>
      <c r="L12" s="143">
        <v>12</v>
      </c>
      <c r="M12" s="560">
        <v>13</v>
      </c>
      <c r="N12" s="143">
        <v>14</v>
      </c>
      <c r="O12" s="143">
        <v>15</v>
      </c>
      <c r="P12" s="560">
        <v>16</v>
      </c>
      <c r="Q12" s="143">
        <v>17</v>
      </c>
      <c r="R12" s="143">
        <v>18</v>
      </c>
      <c r="S12" s="560">
        <v>19</v>
      </c>
      <c r="T12" s="143">
        <v>20</v>
      </c>
      <c r="U12" s="143">
        <v>21</v>
      </c>
      <c r="V12" s="560">
        <v>22</v>
      </c>
    </row>
    <row r="13" spans="1:24" s="604" customFormat="1" ht="16.5" customHeight="1">
      <c r="A13" s="599">
        <v>1</v>
      </c>
      <c r="B13" s="600" t="s">
        <v>473</v>
      </c>
      <c r="C13" s="600">
        <v>0</v>
      </c>
      <c r="D13" s="601">
        <f>(9000*C13)/100000</f>
        <v>0</v>
      </c>
      <c r="E13" s="601">
        <f>(1000*C13)/100000</f>
        <v>0</v>
      </c>
      <c r="F13" s="601">
        <f>D13+E13</f>
        <v>0</v>
      </c>
      <c r="G13" s="600">
        <v>0</v>
      </c>
      <c r="H13" s="601">
        <f>(13500*G13)/100000</f>
        <v>0</v>
      </c>
      <c r="I13" s="601">
        <f>(1500*G13)/100000</f>
        <v>0</v>
      </c>
      <c r="J13" s="601">
        <f>SUM(H13:I13)</f>
        <v>0</v>
      </c>
      <c r="K13" s="600">
        <v>0</v>
      </c>
      <c r="L13" s="601">
        <f>(18000*K13)/100000</f>
        <v>0</v>
      </c>
      <c r="M13" s="601">
        <f>(2000*K13)/100000</f>
        <v>0</v>
      </c>
      <c r="N13" s="601">
        <f>SUM(L13:M13)</f>
        <v>0</v>
      </c>
      <c r="O13" s="600">
        <v>0</v>
      </c>
      <c r="P13" s="601">
        <f>(22500*O13)/100000</f>
        <v>0</v>
      </c>
      <c r="Q13" s="601">
        <f>(2500*O13)/100000</f>
        <v>0</v>
      </c>
      <c r="R13" s="601">
        <f>SUM(P13:Q13)</f>
        <v>0</v>
      </c>
      <c r="S13" s="120">
        <f>C13+G13+K13+O13</f>
        <v>0</v>
      </c>
      <c r="T13" s="602">
        <f aca="true" t="shared" si="0" ref="T13:V20">D13+H13+L13+P13</f>
        <v>0</v>
      </c>
      <c r="U13" s="602">
        <f t="shared" si="0"/>
        <v>0</v>
      </c>
      <c r="V13" s="602">
        <f t="shared" si="0"/>
        <v>0</v>
      </c>
      <c r="W13" s="603"/>
      <c r="X13" s="603"/>
    </row>
    <row r="14" spans="1:24" s="604" customFormat="1" ht="16.5" customHeight="1">
      <c r="A14" s="599">
        <v>2</v>
      </c>
      <c r="B14" s="600" t="s">
        <v>474</v>
      </c>
      <c r="C14" s="600">
        <v>0</v>
      </c>
      <c r="D14" s="601">
        <f aca="true" t="shared" si="1" ref="D14:D20">(9000*C14)/100000</f>
        <v>0</v>
      </c>
      <c r="E14" s="601">
        <f aca="true" t="shared" si="2" ref="E14:E20">(1000*C14)/100000</f>
        <v>0</v>
      </c>
      <c r="F14" s="601">
        <f aca="true" t="shared" si="3" ref="F14:F20">D14+E14</f>
        <v>0</v>
      </c>
      <c r="G14" s="600">
        <v>0</v>
      </c>
      <c r="H14" s="601">
        <f aca="true" t="shared" si="4" ref="H14:H20">(13500*G14)/100000</f>
        <v>0</v>
      </c>
      <c r="I14" s="601">
        <f aca="true" t="shared" si="5" ref="I14:I20">(1500*G14)/100000</f>
        <v>0</v>
      </c>
      <c r="J14" s="601">
        <f aca="true" t="shared" si="6" ref="J14:J20">SUM(H14:I14)</f>
        <v>0</v>
      </c>
      <c r="K14" s="600">
        <v>0</v>
      </c>
      <c r="L14" s="601">
        <f aca="true" t="shared" si="7" ref="L14:L20">(18000*K14)/100000</f>
        <v>0</v>
      </c>
      <c r="M14" s="601">
        <f aca="true" t="shared" si="8" ref="M14:M20">(2000*K14)/100000</f>
        <v>0</v>
      </c>
      <c r="N14" s="601">
        <f aca="true" t="shared" si="9" ref="N14:N20">SUM(L14:M14)</f>
        <v>0</v>
      </c>
      <c r="O14" s="600">
        <v>0</v>
      </c>
      <c r="P14" s="601">
        <f aca="true" t="shared" si="10" ref="P14:P20">(22500*O14)/100000</f>
        <v>0</v>
      </c>
      <c r="Q14" s="601">
        <f aca="true" t="shared" si="11" ref="Q14:Q20">(2500*O14)/100000</f>
        <v>0</v>
      </c>
      <c r="R14" s="601">
        <f aca="true" t="shared" si="12" ref="R14:R20">SUM(P14:Q14)</f>
        <v>0</v>
      </c>
      <c r="S14" s="120">
        <f aca="true" t="shared" si="13" ref="S14:S20">C14+G14+K14+O14</f>
        <v>0</v>
      </c>
      <c r="T14" s="602">
        <f t="shared" si="0"/>
        <v>0</v>
      </c>
      <c r="U14" s="602">
        <f t="shared" si="0"/>
        <v>0</v>
      </c>
      <c r="V14" s="602">
        <f t="shared" si="0"/>
        <v>0</v>
      </c>
      <c r="W14" s="603"/>
      <c r="X14" s="603"/>
    </row>
    <row r="15" spans="1:24" s="604" customFormat="1" ht="16.5" customHeight="1">
      <c r="A15" s="599">
        <v>3</v>
      </c>
      <c r="B15" s="600" t="s">
        <v>475</v>
      </c>
      <c r="C15" s="600">
        <v>0</v>
      </c>
      <c r="D15" s="601">
        <f t="shared" si="1"/>
        <v>0</v>
      </c>
      <c r="E15" s="601">
        <f t="shared" si="2"/>
        <v>0</v>
      </c>
      <c r="F15" s="601">
        <f t="shared" si="3"/>
        <v>0</v>
      </c>
      <c r="G15" s="600">
        <v>0</v>
      </c>
      <c r="H15" s="601">
        <f t="shared" si="4"/>
        <v>0</v>
      </c>
      <c r="I15" s="601">
        <f t="shared" si="5"/>
        <v>0</v>
      </c>
      <c r="J15" s="601">
        <f t="shared" si="6"/>
        <v>0</v>
      </c>
      <c r="K15" s="600">
        <v>0</v>
      </c>
      <c r="L15" s="601">
        <f t="shared" si="7"/>
        <v>0</v>
      </c>
      <c r="M15" s="601">
        <f t="shared" si="8"/>
        <v>0</v>
      </c>
      <c r="N15" s="601">
        <f t="shared" si="9"/>
        <v>0</v>
      </c>
      <c r="O15" s="600">
        <v>0</v>
      </c>
      <c r="P15" s="601">
        <f t="shared" si="10"/>
        <v>0</v>
      </c>
      <c r="Q15" s="601">
        <f t="shared" si="11"/>
        <v>0</v>
      </c>
      <c r="R15" s="601">
        <f t="shared" si="12"/>
        <v>0</v>
      </c>
      <c r="S15" s="120">
        <f t="shared" si="13"/>
        <v>0</v>
      </c>
      <c r="T15" s="602">
        <f t="shared" si="0"/>
        <v>0</v>
      </c>
      <c r="U15" s="602">
        <f t="shared" si="0"/>
        <v>0</v>
      </c>
      <c r="V15" s="602">
        <f t="shared" si="0"/>
        <v>0</v>
      </c>
      <c r="W15" s="603"/>
      <c r="X15" s="603"/>
    </row>
    <row r="16" spans="1:24" s="604" customFormat="1" ht="16.5" customHeight="1">
      <c r="A16" s="599">
        <v>4</v>
      </c>
      <c r="B16" s="600" t="s">
        <v>476</v>
      </c>
      <c r="C16" s="600">
        <v>0</v>
      </c>
      <c r="D16" s="601">
        <f t="shared" si="1"/>
        <v>0</v>
      </c>
      <c r="E16" s="601">
        <f t="shared" si="2"/>
        <v>0</v>
      </c>
      <c r="F16" s="601">
        <f t="shared" si="3"/>
        <v>0</v>
      </c>
      <c r="G16" s="600">
        <v>0</v>
      </c>
      <c r="H16" s="601">
        <f t="shared" si="4"/>
        <v>0</v>
      </c>
      <c r="I16" s="601">
        <f t="shared" si="5"/>
        <v>0</v>
      </c>
      <c r="J16" s="601">
        <f t="shared" si="6"/>
        <v>0</v>
      </c>
      <c r="K16" s="600">
        <v>0</v>
      </c>
      <c r="L16" s="601">
        <f t="shared" si="7"/>
        <v>0</v>
      </c>
      <c r="M16" s="601">
        <f t="shared" si="8"/>
        <v>0</v>
      </c>
      <c r="N16" s="601">
        <f t="shared" si="9"/>
        <v>0</v>
      </c>
      <c r="O16" s="600">
        <v>0</v>
      </c>
      <c r="P16" s="601">
        <f t="shared" si="10"/>
        <v>0</v>
      </c>
      <c r="Q16" s="601">
        <f t="shared" si="11"/>
        <v>0</v>
      </c>
      <c r="R16" s="601">
        <f t="shared" si="12"/>
        <v>0</v>
      </c>
      <c r="S16" s="120">
        <f t="shared" si="13"/>
        <v>0</v>
      </c>
      <c r="T16" s="602">
        <f t="shared" si="0"/>
        <v>0</v>
      </c>
      <c r="U16" s="602">
        <f t="shared" si="0"/>
        <v>0</v>
      </c>
      <c r="V16" s="602">
        <f t="shared" si="0"/>
        <v>0</v>
      </c>
      <c r="W16" s="603"/>
      <c r="X16" s="603"/>
    </row>
    <row r="17" spans="1:47" s="606" customFormat="1" ht="16.5" customHeight="1">
      <c r="A17" s="599">
        <v>5</v>
      </c>
      <c r="B17" s="600" t="s">
        <v>477</v>
      </c>
      <c r="C17" s="600">
        <v>0</v>
      </c>
      <c r="D17" s="601">
        <f t="shared" si="1"/>
        <v>0</v>
      </c>
      <c r="E17" s="601">
        <f t="shared" si="2"/>
        <v>0</v>
      </c>
      <c r="F17" s="601">
        <f t="shared" si="3"/>
        <v>0</v>
      </c>
      <c r="G17" s="600">
        <v>0</v>
      </c>
      <c r="H17" s="601">
        <f t="shared" si="4"/>
        <v>0</v>
      </c>
      <c r="I17" s="601">
        <f t="shared" si="5"/>
        <v>0</v>
      </c>
      <c r="J17" s="601">
        <f t="shared" si="6"/>
        <v>0</v>
      </c>
      <c r="K17" s="600">
        <v>0</v>
      </c>
      <c r="L17" s="601">
        <f t="shared" si="7"/>
        <v>0</v>
      </c>
      <c r="M17" s="601">
        <f t="shared" si="8"/>
        <v>0</v>
      </c>
      <c r="N17" s="601">
        <f t="shared" si="9"/>
        <v>0</v>
      </c>
      <c r="O17" s="600">
        <v>0</v>
      </c>
      <c r="P17" s="601">
        <f t="shared" si="10"/>
        <v>0</v>
      </c>
      <c r="Q17" s="601">
        <f t="shared" si="11"/>
        <v>0</v>
      </c>
      <c r="R17" s="601">
        <f t="shared" si="12"/>
        <v>0</v>
      </c>
      <c r="S17" s="120">
        <f t="shared" si="13"/>
        <v>0</v>
      </c>
      <c r="T17" s="602">
        <f t="shared" si="0"/>
        <v>0</v>
      </c>
      <c r="U17" s="602">
        <f t="shared" si="0"/>
        <v>0</v>
      </c>
      <c r="V17" s="602">
        <f t="shared" si="0"/>
        <v>0</v>
      </c>
      <c r="W17" s="603"/>
      <c r="X17" s="603"/>
      <c r="Y17" s="605"/>
      <c r="Z17" s="605"/>
      <c r="AA17" s="605"/>
      <c r="AB17" s="605"/>
      <c r="AC17" s="605"/>
      <c r="AD17" s="605"/>
      <c r="AE17" s="605"/>
      <c r="AF17" s="605"/>
      <c r="AG17" s="605"/>
      <c r="AH17" s="605"/>
      <c r="AI17" s="605"/>
      <c r="AJ17" s="605"/>
      <c r="AK17" s="605"/>
      <c r="AL17" s="605"/>
      <c r="AM17" s="605"/>
      <c r="AN17" s="605"/>
      <c r="AO17" s="605"/>
      <c r="AP17" s="605"/>
      <c r="AQ17" s="605"/>
      <c r="AR17" s="605"/>
      <c r="AS17" s="605"/>
      <c r="AT17" s="605"/>
      <c r="AU17" s="605"/>
    </row>
    <row r="18" spans="1:24" s="605" customFormat="1" ht="16.5" customHeight="1">
      <c r="A18" s="599">
        <v>6</v>
      </c>
      <c r="B18" s="600" t="s">
        <v>478</v>
      </c>
      <c r="C18" s="600">
        <v>0</v>
      </c>
      <c r="D18" s="601">
        <f t="shared" si="1"/>
        <v>0</v>
      </c>
      <c r="E18" s="601">
        <f t="shared" si="2"/>
        <v>0</v>
      </c>
      <c r="F18" s="601">
        <f t="shared" si="3"/>
        <v>0</v>
      </c>
      <c r="G18" s="600">
        <v>0</v>
      </c>
      <c r="H18" s="601">
        <f t="shared" si="4"/>
        <v>0</v>
      </c>
      <c r="I18" s="601">
        <f t="shared" si="5"/>
        <v>0</v>
      </c>
      <c r="J18" s="601">
        <f t="shared" si="6"/>
        <v>0</v>
      </c>
      <c r="K18" s="600">
        <v>0</v>
      </c>
      <c r="L18" s="601">
        <f t="shared" si="7"/>
        <v>0</v>
      </c>
      <c r="M18" s="601">
        <f t="shared" si="8"/>
        <v>0</v>
      </c>
      <c r="N18" s="601">
        <f t="shared" si="9"/>
        <v>0</v>
      </c>
      <c r="O18" s="600">
        <v>0</v>
      </c>
      <c r="P18" s="601">
        <f t="shared" si="10"/>
        <v>0</v>
      </c>
      <c r="Q18" s="601">
        <f t="shared" si="11"/>
        <v>0</v>
      </c>
      <c r="R18" s="601">
        <f t="shared" si="12"/>
        <v>0</v>
      </c>
      <c r="S18" s="120">
        <f t="shared" si="13"/>
        <v>0</v>
      </c>
      <c r="T18" s="602">
        <f t="shared" si="0"/>
        <v>0</v>
      </c>
      <c r="U18" s="602">
        <f t="shared" si="0"/>
        <v>0</v>
      </c>
      <c r="V18" s="602">
        <f t="shared" si="0"/>
        <v>0</v>
      </c>
      <c r="W18" s="603"/>
      <c r="X18" s="603"/>
    </row>
    <row r="19" spans="1:24" s="605" customFormat="1" ht="16.5" customHeight="1">
      <c r="A19" s="599">
        <v>7</v>
      </c>
      <c r="B19" s="600" t="s">
        <v>479</v>
      </c>
      <c r="C19" s="600">
        <v>0</v>
      </c>
      <c r="D19" s="601">
        <f t="shared" si="1"/>
        <v>0</v>
      </c>
      <c r="E19" s="601">
        <f t="shared" si="2"/>
        <v>0</v>
      </c>
      <c r="F19" s="601">
        <f t="shared" si="3"/>
        <v>0</v>
      </c>
      <c r="G19" s="600">
        <v>0</v>
      </c>
      <c r="H19" s="601">
        <f t="shared" si="4"/>
        <v>0</v>
      </c>
      <c r="I19" s="601">
        <f t="shared" si="5"/>
        <v>0</v>
      </c>
      <c r="J19" s="601">
        <f t="shared" si="6"/>
        <v>0</v>
      </c>
      <c r="K19" s="600">
        <v>0</v>
      </c>
      <c r="L19" s="601">
        <f t="shared" si="7"/>
        <v>0</v>
      </c>
      <c r="M19" s="601">
        <f t="shared" si="8"/>
        <v>0</v>
      </c>
      <c r="N19" s="601">
        <f t="shared" si="9"/>
        <v>0</v>
      </c>
      <c r="O19" s="600">
        <v>0</v>
      </c>
      <c r="P19" s="601">
        <f t="shared" si="10"/>
        <v>0</v>
      </c>
      <c r="Q19" s="601">
        <f t="shared" si="11"/>
        <v>0</v>
      </c>
      <c r="R19" s="601">
        <f t="shared" si="12"/>
        <v>0</v>
      </c>
      <c r="S19" s="120">
        <f t="shared" si="13"/>
        <v>0</v>
      </c>
      <c r="T19" s="602">
        <f t="shared" si="0"/>
        <v>0</v>
      </c>
      <c r="U19" s="602">
        <f t="shared" si="0"/>
        <v>0</v>
      </c>
      <c r="V19" s="602">
        <f t="shared" si="0"/>
        <v>0</v>
      </c>
      <c r="W19" s="603"/>
      <c r="X19" s="603"/>
    </row>
    <row r="20" spans="1:24" s="605" customFormat="1" ht="16.5" customHeight="1">
      <c r="A20" s="599">
        <v>8</v>
      </c>
      <c r="B20" s="600" t="s">
        <v>480</v>
      </c>
      <c r="C20" s="600">
        <v>0</v>
      </c>
      <c r="D20" s="601">
        <f t="shared" si="1"/>
        <v>0</v>
      </c>
      <c r="E20" s="601">
        <f t="shared" si="2"/>
        <v>0</v>
      </c>
      <c r="F20" s="601">
        <f t="shared" si="3"/>
        <v>0</v>
      </c>
      <c r="G20" s="600">
        <v>0</v>
      </c>
      <c r="H20" s="601">
        <f t="shared" si="4"/>
        <v>0</v>
      </c>
      <c r="I20" s="601">
        <f t="shared" si="5"/>
        <v>0</v>
      </c>
      <c r="J20" s="601">
        <f t="shared" si="6"/>
        <v>0</v>
      </c>
      <c r="K20" s="600">
        <v>0</v>
      </c>
      <c r="L20" s="601">
        <f t="shared" si="7"/>
        <v>0</v>
      </c>
      <c r="M20" s="601">
        <f t="shared" si="8"/>
        <v>0</v>
      </c>
      <c r="N20" s="601">
        <f t="shared" si="9"/>
        <v>0</v>
      </c>
      <c r="O20" s="600">
        <v>0</v>
      </c>
      <c r="P20" s="601">
        <f t="shared" si="10"/>
        <v>0</v>
      </c>
      <c r="Q20" s="601">
        <f t="shared" si="11"/>
        <v>0</v>
      </c>
      <c r="R20" s="601">
        <f t="shared" si="12"/>
        <v>0</v>
      </c>
      <c r="S20" s="120">
        <f t="shared" si="13"/>
        <v>0</v>
      </c>
      <c r="T20" s="602">
        <f t="shared" si="0"/>
        <v>0</v>
      </c>
      <c r="U20" s="602">
        <f t="shared" si="0"/>
        <v>0</v>
      </c>
      <c r="V20" s="602">
        <f t="shared" si="0"/>
        <v>0</v>
      </c>
      <c r="W20" s="603"/>
      <c r="X20" s="603"/>
    </row>
    <row r="21" spans="1:22" s="604" customFormat="1" ht="16.5" customHeight="1">
      <c r="A21" s="607"/>
      <c r="B21" s="600" t="s">
        <v>481</v>
      </c>
      <c r="C21" s="120">
        <f>SUM(C13:C20)</f>
        <v>0</v>
      </c>
      <c r="D21" s="602">
        <f aca="true" t="shared" si="14" ref="D21:S21">SUM(D13:D20)</f>
        <v>0</v>
      </c>
      <c r="E21" s="602">
        <f t="shared" si="14"/>
        <v>0</v>
      </c>
      <c r="F21" s="602">
        <f t="shared" si="14"/>
        <v>0</v>
      </c>
      <c r="G21" s="120">
        <f t="shared" si="14"/>
        <v>0</v>
      </c>
      <c r="H21" s="602">
        <f t="shared" si="14"/>
        <v>0</v>
      </c>
      <c r="I21" s="602">
        <f t="shared" si="14"/>
        <v>0</v>
      </c>
      <c r="J21" s="602">
        <f t="shared" si="14"/>
        <v>0</v>
      </c>
      <c r="K21" s="120">
        <f t="shared" si="14"/>
        <v>0</v>
      </c>
      <c r="L21" s="602">
        <f t="shared" si="14"/>
        <v>0</v>
      </c>
      <c r="M21" s="602">
        <f t="shared" si="14"/>
        <v>0</v>
      </c>
      <c r="N21" s="602">
        <f t="shared" si="14"/>
        <v>0</v>
      </c>
      <c r="O21" s="120">
        <f t="shared" si="14"/>
        <v>0</v>
      </c>
      <c r="P21" s="602">
        <f t="shared" si="14"/>
        <v>0</v>
      </c>
      <c r="Q21" s="602">
        <f t="shared" si="14"/>
        <v>0</v>
      </c>
      <c r="R21" s="602">
        <f t="shared" si="14"/>
        <v>0</v>
      </c>
      <c r="S21" s="120">
        <f t="shared" si="14"/>
        <v>0</v>
      </c>
      <c r="T21" s="602">
        <f>SUM(T13:T20)</f>
        <v>0</v>
      </c>
      <c r="U21" s="602">
        <f>SUM(U13:U20)</f>
        <v>0</v>
      </c>
      <c r="V21" s="602">
        <f>SUM(V13:V20)</f>
        <v>0</v>
      </c>
    </row>
    <row r="23" spans="2:21" ht="15">
      <c r="B23" s="500"/>
      <c r="C23" s="598"/>
      <c r="S23" s="78" t="s">
        <v>11</v>
      </c>
      <c r="U23" s="494" t="s">
        <v>11</v>
      </c>
    </row>
    <row r="24" spans="2:3" ht="15">
      <c r="B24" s="500"/>
      <c r="C24" s="598"/>
    </row>
    <row r="25" spans="2:3" ht="15">
      <c r="B25" s="500"/>
      <c r="C25" s="598"/>
    </row>
    <row r="26" spans="1:22" s="16" customFormat="1" ht="15" customHeight="1">
      <c r="A26" s="15" t="s">
        <v>12</v>
      </c>
      <c r="C26" s="598"/>
      <c r="I26" s="500"/>
      <c r="J26" s="15"/>
      <c r="N26" s="78"/>
      <c r="O26" s="78"/>
      <c r="P26" s="15"/>
      <c r="Q26" s="15"/>
      <c r="R26" s="15"/>
      <c r="S26" s="1061"/>
      <c r="T26" s="1061"/>
      <c r="U26" s="1061"/>
      <c r="V26" s="1061"/>
    </row>
    <row r="27" spans="3:22" s="16" customFormat="1" ht="12.75" customHeight="1">
      <c r="C27" s="598"/>
      <c r="I27" s="500"/>
      <c r="N27" s="78"/>
      <c r="O27" s="78"/>
      <c r="P27" s="31"/>
      <c r="Q27" s="31"/>
      <c r="R27" s="1014" t="s">
        <v>1062</v>
      </c>
      <c r="S27" s="1014"/>
      <c r="T27" s="1014"/>
      <c r="U27" s="1014"/>
      <c r="V27" s="1014"/>
    </row>
    <row r="28" spans="3:22" s="16" customFormat="1" ht="12.75" customHeight="1">
      <c r="C28" s="598"/>
      <c r="I28" s="500"/>
      <c r="N28" s="78"/>
      <c r="O28" s="78"/>
      <c r="P28" s="31"/>
      <c r="Q28" s="31"/>
      <c r="R28" s="1014" t="s">
        <v>484</v>
      </c>
      <c r="S28" s="1014"/>
      <c r="T28" s="1014"/>
      <c r="U28" s="1014"/>
      <c r="V28" s="1014"/>
    </row>
    <row r="29" spans="1:22" s="16" customFormat="1" ht="15">
      <c r="A29" s="15"/>
      <c r="B29" s="15"/>
      <c r="C29" s="598"/>
      <c r="I29" s="500"/>
      <c r="N29" s="78"/>
      <c r="O29" s="78"/>
      <c r="P29" s="15"/>
      <c r="Q29" s="15"/>
      <c r="R29" s="15"/>
      <c r="S29" s="15" t="s">
        <v>855</v>
      </c>
      <c r="T29" s="244"/>
      <c r="U29" s="244"/>
      <c r="V29" s="237"/>
    </row>
    <row r="30" spans="3:13" ht="15">
      <c r="C30" s="598"/>
      <c r="D30" s="84"/>
      <c r="E30" s="84"/>
      <c r="F30" s="443"/>
      <c r="G30" s="84"/>
      <c r="H30" s="84"/>
      <c r="I30" s="500"/>
      <c r="J30" s="84"/>
      <c r="K30" s="84"/>
      <c r="L30" s="84"/>
      <c r="M30" s="84"/>
    </row>
    <row r="31" spans="3:13" ht="15">
      <c r="C31" s="598"/>
      <c r="D31" s="84"/>
      <c r="E31" s="84"/>
      <c r="F31" s="443"/>
      <c r="G31" s="443"/>
      <c r="H31" s="84"/>
      <c r="I31" s="536"/>
      <c r="J31" s="84"/>
      <c r="K31" s="84"/>
      <c r="L31" s="84"/>
      <c r="M31" s="84"/>
    </row>
    <row r="32" spans="3:13" ht="15">
      <c r="C32" s="513"/>
      <c r="D32" s="84"/>
      <c r="E32" s="84"/>
      <c r="F32" s="443"/>
      <c r="G32" s="443"/>
      <c r="H32" s="84"/>
      <c r="I32" s="536"/>
      <c r="J32" s="84"/>
      <c r="K32" s="84"/>
      <c r="L32" s="84"/>
      <c r="M32" s="84"/>
    </row>
    <row r="33" spans="3:13" ht="15">
      <c r="C33" s="513"/>
      <c r="D33" s="84"/>
      <c r="E33" s="84"/>
      <c r="F33" s="443"/>
      <c r="G33" s="443"/>
      <c r="H33" s="84"/>
      <c r="I33" s="536"/>
      <c r="J33" s="84"/>
      <c r="K33" s="84"/>
      <c r="L33" s="84"/>
      <c r="M33" s="84"/>
    </row>
    <row r="34" spans="3:13" ht="15">
      <c r="C34" s="513"/>
      <c r="D34" s="84"/>
      <c r="E34" s="84"/>
      <c r="F34" s="443"/>
      <c r="G34" s="443"/>
      <c r="H34" s="84"/>
      <c r="I34" s="536"/>
      <c r="J34" s="84"/>
      <c r="K34" s="84"/>
      <c r="L34" s="84"/>
      <c r="M34" s="84"/>
    </row>
    <row r="35" spans="4:13" ht="15">
      <c r="D35" s="84"/>
      <c r="E35" s="84"/>
      <c r="F35" s="443"/>
      <c r="G35" s="443"/>
      <c r="H35" s="84"/>
      <c r="I35" s="536"/>
      <c r="J35" s="84"/>
      <c r="K35" s="84"/>
      <c r="L35" s="84"/>
      <c r="M35" s="84"/>
    </row>
    <row r="36" spans="4:13" ht="15">
      <c r="D36" s="84"/>
      <c r="E36" s="84"/>
      <c r="F36" s="443"/>
      <c r="G36" s="443"/>
      <c r="H36" s="84"/>
      <c r="I36" s="536"/>
      <c r="J36" s="84"/>
      <c r="K36" s="84"/>
      <c r="L36" s="84"/>
      <c r="M36" s="84"/>
    </row>
    <row r="37" spans="4:13" ht="15">
      <c r="D37" s="84"/>
      <c r="E37" s="84"/>
      <c r="F37" s="443"/>
      <c r="G37" s="443"/>
      <c r="H37" s="84"/>
      <c r="I37" s="536"/>
      <c r="J37" s="84"/>
      <c r="K37" s="84"/>
      <c r="L37" s="84"/>
      <c r="M37" s="84"/>
    </row>
    <row r="38" spans="4:13" ht="15">
      <c r="D38" s="84"/>
      <c r="E38" s="84"/>
      <c r="F38" s="84"/>
      <c r="G38" s="443"/>
      <c r="H38" s="84"/>
      <c r="I38" s="536"/>
      <c r="J38" s="84"/>
      <c r="K38" s="84"/>
      <c r="L38" s="84"/>
      <c r="M38" s="84"/>
    </row>
    <row r="39" spans="7:9" ht="15">
      <c r="G39" s="443"/>
      <c r="I39" s="500"/>
    </row>
    <row r="40" ht="15">
      <c r="I40" s="500"/>
    </row>
  </sheetData>
  <sheetProtection/>
  <mergeCells count="25">
    <mergeCell ref="R28:V28"/>
    <mergeCell ref="S26:V26"/>
    <mergeCell ref="K9:N9"/>
    <mergeCell ref="O10:O11"/>
    <mergeCell ref="P10:R10"/>
    <mergeCell ref="S10:S11"/>
    <mergeCell ref="T10:V10"/>
    <mergeCell ref="O9:R9"/>
    <mergeCell ref="R27:V27"/>
    <mergeCell ref="D10:F10"/>
    <mergeCell ref="C9:F9"/>
    <mergeCell ref="G10:G11"/>
    <mergeCell ref="B9:B11"/>
    <mergeCell ref="A9:A11"/>
    <mergeCell ref="G9:J9"/>
    <mergeCell ref="T1:V1"/>
    <mergeCell ref="S9:V9"/>
    <mergeCell ref="K10:K11"/>
    <mergeCell ref="L10:N10"/>
    <mergeCell ref="C10:C11"/>
    <mergeCell ref="A2:V2"/>
    <mergeCell ref="A3:V3"/>
    <mergeCell ref="A5:V5"/>
    <mergeCell ref="A7:B7"/>
    <mergeCell ref="H10:J10"/>
  </mergeCells>
  <printOptions horizontalCentered="1"/>
  <pageMargins left="0.46" right="0.19" top="1.42" bottom="0" header="1" footer="0.31496062992125984"/>
  <pageSetup fitToHeight="1" fitToWidth="1" horizontalDpi="600" verticalDpi="600" orientation="landscape" paperSize="9" scale="67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X30"/>
  <sheetViews>
    <sheetView zoomScale="90" zoomScaleNormal="90" zoomScalePageLayoutView="0" workbookViewId="0" topLeftCell="A1">
      <selection activeCell="B8" sqref="B8:B10"/>
    </sheetView>
  </sheetViews>
  <sheetFormatPr defaultColWidth="9.140625" defaultRowHeight="12.75"/>
  <cols>
    <col min="1" max="1" width="4.421875" style="78" customWidth="1"/>
    <col min="2" max="2" width="12.140625" style="78" customWidth="1"/>
    <col min="3" max="3" width="8.57421875" style="78" customWidth="1"/>
    <col min="4" max="4" width="8.421875" style="78" bestFit="1" customWidth="1"/>
    <col min="5" max="5" width="7.140625" style="78" bestFit="1" customWidth="1"/>
    <col min="6" max="6" width="6.140625" style="78" bestFit="1" customWidth="1"/>
    <col min="7" max="7" width="8.7109375" style="78" customWidth="1"/>
    <col min="8" max="8" width="8.421875" style="78" bestFit="1" customWidth="1"/>
    <col min="9" max="9" width="6.8515625" style="78" customWidth="1"/>
    <col min="10" max="10" width="7.28125" style="78" bestFit="1" customWidth="1"/>
    <col min="11" max="11" width="9.00390625" style="78" customWidth="1"/>
    <col min="12" max="14" width="7.57421875" style="78" customWidth="1"/>
    <col min="15" max="15" width="8.7109375" style="78" customWidth="1"/>
    <col min="16" max="18" width="7.57421875" style="78" customWidth="1"/>
    <col min="19" max="19" width="8.8515625" style="78" customWidth="1"/>
    <col min="20" max="22" width="8.140625" style="78" customWidth="1"/>
    <col min="23" max="16384" width="9.140625" style="78" customWidth="1"/>
  </cols>
  <sheetData>
    <row r="1" spans="3:24" s="16" customFormat="1" ht="15.75">
      <c r="C1" s="46"/>
      <c r="D1" s="46"/>
      <c r="E1" s="46"/>
      <c r="F1" s="46"/>
      <c r="G1" s="46"/>
      <c r="H1" s="46"/>
      <c r="I1" s="108" t="s">
        <v>0</v>
      </c>
      <c r="J1" s="108"/>
      <c r="S1" s="42"/>
      <c r="T1" s="42"/>
      <c r="U1" s="832" t="s">
        <v>835</v>
      </c>
      <c r="V1" s="832"/>
      <c r="W1" s="44"/>
      <c r="X1" s="44"/>
    </row>
    <row r="2" spans="5:16" s="16" customFormat="1" ht="20.25">
      <c r="E2" s="701" t="s">
        <v>878</v>
      </c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</row>
    <row r="3" spans="8:16" s="16" customFormat="1" ht="20.25">
      <c r="H3" s="45"/>
      <c r="I3" s="45"/>
      <c r="J3" s="45"/>
      <c r="K3" s="45"/>
      <c r="L3" s="45"/>
      <c r="M3" s="45"/>
      <c r="N3" s="45"/>
      <c r="O3" s="45"/>
      <c r="P3" s="45"/>
    </row>
    <row r="4" spans="3:23" ht="15.75">
      <c r="C4" s="702" t="s">
        <v>951</v>
      </c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  <c r="O4" s="702"/>
      <c r="P4" s="702"/>
      <c r="Q4" s="702"/>
      <c r="R4" s="48"/>
      <c r="S4" s="558"/>
      <c r="T4" s="558"/>
      <c r="U4" s="558"/>
      <c r="V4" s="558"/>
      <c r="W4" s="108"/>
    </row>
    <row r="5" spans="3:23" ht="15">
      <c r="C5" s="79"/>
      <c r="D5" s="79"/>
      <c r="E5" s="79"/>
      <c r="F5" s="79"/>
      <c r="G5" s="79"/>
      <c r="H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</row>
    <row r="6" spans="1:2" ht="15">
      <c r="A6" s="559" t="s">
        <v>854</v>
      </c>
      <c r="B6" s="556"/>
    </row>
    <row r="7" ht="15">
      <c r="B7" s="557"/>
    </row>
    <row r="8" spans="1:22" s="559" customFormat="1" ht="24.75" customHeight="1">
      <c r="A8" s="674" t="s">
        <v>70</v>
      </c>
      <c r="B8" s="1049" t="s">
        <v>3</v>
      </c>
      <c r="C8" s="1042" t="s">
        <v>836</v>
      </c>
      <c r="D8" s="1043"/>
      <c r="E8" s="1043"/>
      <c r="F8" s="1043"/>
      <c r="G8" s="1042" t="s">
        <v>837</v>
      </c>
      <c r="H8" s="1043"/>
      <c r="I8" s="1043"/>
      <c r="J8" s="1043"/>
      <c r="K8" s="1042" t="s">
        <v>838</v>
      </c>
      <c r="L8" s="1043"/>
      <c r="M8" s="1043"/>
      <c r="N8" s="1043"/>
      <c r="O8" s="1042" t="s">
        <v>839</v>
      </c>
      <c r="P8" s="1043"/>
      <c r="Q8" s="1043"/>
      <c r="R8" s="1043"/>
      <c r="S8" s="1056" t="s">
        <v>16</v>
      </c>
      <c r="T8" s="1057"/>
      <c r="U8" s="1057"/>
      <c r="V8" s="1057"/>
    </row>
    <row r="9" spans="1:22" s="82" customFormat="1" ht="29.25" customHeight="1">
      <c r="A9" s="674"/>
      <c r="B9" s="1049"/>
      <c r="C9" s="1053" t="s">
        <v>840</v>
      </c>
      <c r="D9" s="1058" t="s">
        <v>862</v>
      </c>
      <c r="E9" s="1059"/>
      <c r="F9" s="1060"/>
      <c r="G9" s="1053" t="s">
        <v>840</v>
      </c>
      <c r="H9" s="1058" t="s">
        <v>862</v>
      </c>
      <c r="I9" s="1059"/>
      <c r="J9" s="1060"/>
      <c r="K9" s="1053" t="s">
        <v>840</v>
      </c>
      <c r="L9" s="1058" t="s">
        <v>862</v>
      </c>
      <c r="M9" s="1059"/>
      <c r="N9" s="1060"/>
      <c r="O9" s="1053" t="s">
        <v>840</v>
      </c>
      <c r="P9" s="1058" t="s">
        <v>862</v>
      </c>
      <c r="Q9" s="1059"/>
      <c r="R9" s="1060"/>
      <c r="S9" s="1053" t="s">
        <v>840</v>
      </c>
      <c r="T9" s="1058" t="s">
        <v>862</v>
      </c>
      <c r="U9" s="1059"/>
      <c r="V9" s="1060"/>
    </row>
    <row r="10" spans="1:22" s="82" customFormat="1" ht="46.5" customHeight="1">
      <c r="A10" s="674"/>
      <c r="B10" s="1049"/>
      <c r="C10" s="1054"/>
      <c r="D10" s="304" t="s">
        <v>841</v>
      </c>
      <c r="E10" s="304" t="s">
        <v>198</v>
      </c>
      <c r="F10" s="304" t="s">
        <v>16</v>
      </c>
      <c r="G10" s="1054"/>
      <c r="H10" s="304" t="s">
        <v>841</v>
      </c>
      <c r="I10" s="304" t="s">
        <v>198</v>
      </c>
      <c r="J10" s="304" t="s">
        <v>16</v>
      </c>
      <c r="K10" s="1054"/>
      <c r="L10" s="304" t="s">
        <v>841</v>
      </c>
      <c r="M10" s="304" t="s">
        <v>198</v>
      </c>
      <c r="N10" s="304" t="s">
        <v>16</v>
      </c>
      <c r="O10" s="1054"/>
      <c r="P10" s="304" t="s">
        <v>841</v>
      </c>
      <c r="Q10" s="304" t="s">
        <v>198</v>
      </c>
      <c r="R10" s="304" t="s">
        <v>16</v>
      </c>
      <c r="S10" s="1054"/>
      <c r="T10" s="304" t="s">
        <v>841</v>
      </c>
      <c r="U10" s="304" t="s">
        <v>198</v>
      </c>
      <c r="V10" s="304" t="s">
        <v>16</v>
      </c>
    </row>
    <row r="11" spans="1:22" s="144" customFormat="1" ht="15.75" customHeight="1">
      <c r="A11" s="560">
        <v>1</v>
      </c>
      <c r="B11" s="143">
        <v>2</v>
      </c>
      <c r="C11" s="143">
        <v>3</v>
      </c>
      <c r="D11" s="560">
        <v>4</v>
      </c>
      <c r="E11" s="143">
        <v>5</v>
      </c>
      <c r="F11" s="143">
        <v>6</v>
      </c>
      <c r="G11" s="560">
        <v>7</v>
      </c>
      <c r="H11" s="143">
        <v>8</v>
      </c>
      <c r="I11" s="143">
        <v>9</v>
      </c>
      <c r="J11" s="560">
        <v>10</v>
      </c>
      <c r="K11" s="143">
        <v>11</v>
      </c>
      <c r="L11" s="143">
        <v>12</v>
      </c>
      <c r="M11" s="560">
        <v>13</v>
      </c>
      <c r="N11" s="143">
        <v>14</v>
      </c>
      <c r="O11" s="143">
        <v>15</v>
      </c>
      <c r="P11" s="560">
        <v>16</v>
      </c>
      <c r="Q11" s="143">
        <v>17</v>
      </c>
      <c r="R11" s="143">
        <v>18</v>
      </c>
      <c r="S11" s="560">
        <v>19</v>
      </c>
      <c r="T11" s="143">
        <v>20</v>
      </c>
      <c r="U11" s="143">
        <v>21</v>
      </c>
      <c r="V11" s="560">
        <v>22</v>
      </c>
    </row>
    <row r="12" spans="1:24" ht="16.5" customHeight="1">
      <c r="A12" s="8">
        <v>1</v>
      </c>
      <c r="B12" s="53" t="s">
        <v>473</v>
      </c>
      <c r="C12" s="53">
        <v>123</v>
      </c>
      <c r="D12" s="566">
        <f>(9000*C12)/100000</f>
        <v>11.07</v>
      </c>
      <c r="E12" s="566">
        <f>(1000*C12)/100000</f>
        <v>1.23</v>
      </c>
      <c r="F12" s="566">
        <f>D12+E12</f>
        <v>12.3</v>
      </c>
      <c r="G12" s="53">
        <v>66</v>
      </c>
      <c r="H12" s="566">
        <f>(13500*G12)/100000</f>
        <v>8.91</v>
      </c>
      <c r="I12" s="566">
        <f>(1500*G12)/100000</f>
        <v>0.99</v>
      </c>
      <c r="J12" s="566">
        <f>SUM(H12:I12)</f>
        <v>9.9</v>
      </c>
      <c r="K12" s="53">
        <v>0</v>
      </c>
      <c r="L12" s="566">
        <f>(18000*K12)/100000</f>
        <v>0</v>
      </c>
      <c r="M12" s="566">
        <f>(2000*K12)/100000</f>
        <v>0</v>
      </c>
      <c r="N12" s="566">
        <f>SUM(L12:M12)</f>
        <v>0</v>
      </c>
      <c r="O12" s="53">
        <v>0</v>
      </c>
      <c r="P12" s="566">
        <f>(22500*O12)/100000</f>
        <v>0</v>
      </c>
      <c r="Q12" s="566">
        <f>(2500*O12)/100000</f>
        <v>0</v>
      </c>
      <c r="R12" s="566">
        <f>SUM(P12:Q12)</f>
        <v>0</v>
      </c>
      <c r="S12" s="567">
        <f>C12+G12+K12+O12</f>
        <v>189</v>
      </c>
      <c r="T12" s="568">
        <f aca="true" t="shared" si="0" ref="T12:V19">D12+H12+L12+P12</f>
        <v>19.98</v>
      </c>
      <c r="U12" s="568">
        <f t="shared" si="0"/>
        <v>2.2199999999999998</v>
      </c>
      <c r="V12" s="568">
        <f t="shared" si="0"/>
        <v>22.200000000000003</v>
      </c>
      <c r="W12" s="513"/>
      <c r="X12" s="513"/>
    </row>
    <row r="13" spans="1:24" ht="16.5" customHeight="1">
      <c r="A13" s="8">
        <v>2</v>
      </c>
      <c r="B13" s="53" t="s">
        <v>474</v>
      </c>
      <c r="C13" s="53">
        <v>117</v>
      </c>
      <c r="D13" s="566">
        <f aca="true" t="shared" si="1" ref="D13:D19">(9000*C13)/100000</f>
        <v>10.53</v>
      </c>
      <c r="E13" s="566">
        <f aca="true" t="shared" si="2" ref="E13:E19">(1000*C13)/100000</f>
        <v>1.17</v>
      </c>
      <c r="F13" s="566">
        <f aca="true" t="shared" si="3" ref="F13:F19">D13+E13</f>
        <v>11.7</v>
      </c>
      <c r="G13" s="53">
        <v>63</v>
      </c>
      <c r="H13" s="566">
        <f aca="true" t="shared" si="4" ref="H13:H19">(13500*G13)/100000</f>
        <v>8.505</v>
      </c>
      <c r="I13" s="566">
        <f aca="true" t="shared" si="5" ref="I13:I19">(1500*G13)/100000</f>
        <v>0.945</v>
      </c>
      <c r="J13" s="566">
        <f aca="true" t="shared" si="6" ref="J13:J19">SUM(H13:I13)</f>
        <v>9.450000000000001</v>
      </c>
      <c r="K13" s="53">
        <v>0</v>
      </c>
      <c r="L13" s="566">
        <f aca="true" t="shared" si="7" ref="L13:L19">(18000*K13)/100000</f>
        <v>0</v>
      </c>
      <c r="M13" s="566">
        <f aca="true" t="shared" si="8" ref="M13:M19">(2000*K13)/100000</f>
        <v>0</v>
      </c>
      <c r="N13" s="566">
        <f aca="true" t="shared" si="9" ref="N13:N19">SUM(L13:M13)</f>
        <v>0</v>
      </c>
      <c r="O13" s="53">
        <v>0</v>
      </c>
      <c r="P13" s="566">
        <f aca="true" t="shared" si="10" ref="P13:P19">(22500*O13)/100000</f>
        <v>0</v>
      </c>
      <c r="Q13" s="566">
        <f aca="true" t="shared" si="11" ref="Q13:Q19">(2500*O13)/100000</f>
        <v>0</v>
      </c>
      <c r="R13" s="566">
        <f aca="true" t="shared" si="12" ref="R13:R19">SUM(P13:Q13)</f>
        <v>0</v>
      </c>
      <c r="S13" s="567">
        <f aca="true" t="shared" si="13" ref="S13:S19">C13+G13+K13+O13</f>
        <v>180</v>
      </c>
      <c r="T13" s="568">
        <f t="shared" si="0"/>
        <v>19.035</v>
      </c>
      <c r="U13" s="568">
        <f t="shared" si="0"/>
        <v>2.1149999999999998</v>
      </c>
      <c r="V13" s="568">
        <f t="shared" si="0"/>
        <v>21.15</v>
      </c>
      <c r="W13" s="513"/>
      <c r="X13" s="513"/>
    </row>
    <row r="14" spans="1:24" ht="16.5" customHeight="1">
      <c r="A14" s="8">
        <v>3</v>
      </c>
      <c r="B14" s="53" t="s">
        <v>475</v>
      </c>
      <c r="C14" s="53">
        <v>89</v>
      </c>
      <c r="D14" s="566">
        <f t="shared" si="1"/>
        <v>8.01</v>
      </c>
      <c r="E14" s="566">
        <f t="shared" si="2"/>
        <v>0.89</v>
      </c>
      <c r="F14" s="566">
        <f t="shared" si="3"/>
        <v>8.9</v>
      </c>
      <c r="G14" s="53">
        <v>48</v>
      </c>
      <c r="H14" s="566">
        <f t="shared" si="4"/>
        <v>6.48</v>
      </c>
      <c r="I14" s="566">
        <f t="shared" si="5"/>
        <v>0.72</v>
      </c>
      <c r="J14" s="566">
        <f t="shared" si="6"/>
        <v>7.2</v>
      </c>
      <c r="K14" s="53">
        <v>0</v>
      </c>
      <c r="L14" s="566">
        <f t="shared" si="7"/>
        <v>0</v>
      </c>
      <c r="M14" s="566">
        <f t="shared" si="8"/>
        <v>0</v>
      </c>
      <c r="N14" s="566">
        <f t="shared" si="9"/>
        <v>0</v>
      </c>
      <c r="O14" s="53">
        <v>0</v>
      </c>
      <c r="P14" s="566">
        <f t="shared" si="10"/>
        <v>0</v>
      </c>
      <c r="Q14" s="566">
        <f t="shared" si="11"/>
        <v>0</v>
      </c>
      <c r="R14" s="566">
        <f t="shared" si="12"/>
        <v>0</v>
      </c>
      <c r="S14" s="567">
        <f t="shared" si="13"/>
        <v>137</v>
      </c>
      <c r="T14" s="568">
        <f t="shared" si="0"/>
        <v>14.49</v>
      </c>
      <c r="U14" s="568">
        <f t="shared" si="0"/>
        <v>1.6099999999999999</v>
      </c>
      <c r="V14" s="568">
        <f t="shared" si="0"/>
        <v>16.1</v>
      </c>
      <c r="W14" s="513"/>
      <c r="X14" s="513"/>
    </row>
    <row r="15" spans="1:24" ht="16.5" customHeight="1">
      <c r="A15" s="8">
        <v>4</v>
      </c>
      <c r="B15" s="53" t="s">
        <v>476</v>
      </c>
      <c r="C15" s="53">
        <v>108</v>
      </c>
      <c r="D15" s="566">
        <f t="shared" si="1"/>
        <v>9.72</v>
      </c>
      <c r="E15" s="566">
        <f t="shared" si="2"/>
        <v>1.08</v>
      </c>
      <c r="F15" s="566">
        <f t="shared" si="3"/>
        <v>10.8</v>
      </c>
      <c r="G15" s="53">
        <v>58</v>
      </c>
      <c r="H15" s="566">
        <f t="shared" si="4"/>
        <v>7.83</v>
      </c>
      <c r="I15" s="566">
        <f t="shared" si="5"/>
        <v>0.87</v>
      </c>
      <c r="J15" s="566">
        <f t="shared" si="6"/>
        <v>8.7</v>
      </c>
      <c r="K15" s="53">
        <v>0</v>
      </c>
      <c r="L15" s="566">
        <f t="shared" si="7"/>
        <v>0</v>
      </c>
      <c r="M15" s="566">
        <f t="shared" si="8"/>
        <v>0</v>
      </c>
      <c r="N15" s="566">
        <f t="shared" si="9"/>
        <v>0</v>
      </c>
      <c r="O15" s="53">
        <v>0</v>
      </c>
      <c r="P15" s="566">
        <f t="shared" si="10"/>
        <v>0</v>
      </c>
      <c r="Q15" s="566">
        <f t="shared" si="11"/>
        <v>0</v>
      </c>
      <c r="R15" s="566">
        <f t="shared" si="12"/>
        <v>0</v>
      </c>
      <c r="S15" s="567">
        <f t="shared" si="13"/>
        <v>166</v>
      </c>
      <c r="T15" s="568">
        <f t="shared" si="0"/>
        <v>17.55</v>
      </c>
      <c r="U15" s="568">
        <f t="shared" si="0"/>
        <v>1.9500000000000002</v>
      </c>
      <c r="V15" s="568">
        <f t="shared" si="0"/>
        <v>19.5</v>
      </c>
      <c r="W15" s="513"/>
      <c r="X15" s="513"/>
    </row>
    <row r="16" spans="1:24" ht="16.5" customHeight="1">
      <c r="A16" s="8">
        <v>5</v>
      </c>
      <c r="B16" s="53" t="s">
        <v>477</v>
      </c>
      <c r="C16" s="53">
        <v>124</v>
      </c>
      <c r="D16" s="566">
        <f t="shared" si="1"/>
        <v>11.16</v>
      </c>
      <c r="E16" s="566">
        <f t="shared" si="2"/>
        <v>1.24</v>
      </c>
      <c r="F16" s="566">
        <f t="shared" si="3"/>
        <v>12.4</v>
      </c>
      <c r="G16" s="53">
        <v>67</v>
      </c>
      <c r="H16" s="566">
        <f t="shared" si="4"/>
        <v>9.045</v>
      </c>
      <c r="I16" s="566">
        <f t="shared" si="5"/>
        <v>1.005</v>
      </c>
      <c r="J16" s="566">
        <f t="shared" si="6"/>
        <v>10.05</v>
      </c>
      <c r="K16" s="53">
        <v>0</v>
      </c>
      <c r="L16" s="566">
        <f t="shared" si="7"/>
        <v>0</v>
      </c>
      <c r="M16" s="566">
        <f t="shared" si="8"/>
        <v>0</v>
      </c>
      <c r="N16" s="566">
        <f t="shared" si="9"/>
        <v>0</v>
      </c>
      <c r="O16" s="53">
        <v>0</v>
      </c>
      <c r="P16" s="566">
        <f t="shared" si="10"/>
        <v>0</v>
      </c>
      <c r="Q16" s="566">
        <f t="shared" si="11"/>
        <v>0</v>
      </c>
      <c r="R16" s="566">
        <f t="shared" si="12"/>
        <v>0</v>
      </c>
      <c r="S16" s="567">
        <f t="shared" si="13"/>
        <v>191</v>
      </c>
      <c r="T16" s="568">
        <f t="shared" si="0"/>
        <v>20.205</v>
      </c>
      <c r="U16" s="568">
        <f t="shared" si="0"/>
        <v>2.245</v>
      </c>
      <c r="V16" s="568">
        <f t="shared" si="0"/>
        <v>22.450000000000003</v>
      </c>
      <c r="W16" s="513"/>
      <c r="X16" s="513"/>
    </row>
    <row r="17" spans="1:24" ht="16.5" customHeight="1">
      <c r="A17" s="8">
        <v>6</v>
      </c>
      <c r="B17" s="53" t="s">
        <v>478</v>
      </c>
      <c r="C17" s="53">
        <v>63</v>
      </c>
      <c r="D17" s="566">
        <f t="shared" si="1"/>
        <v>5.67</v>
      </c>
      <c r="E17" s="566">
        <f t="shared" si="2"/>
        <v>0.63</v>
      </c>
      <c r="F17" s="566">
        <f t="shared" si="3"/>
        <v>6.3</v>
      </c>
      <c r="G17" s="53">
        <v>34</v>
      </c>
      <c r="H17" s="566">
        <f t="shared" si="4"/>
        <v>4.59</v>
      </c>
      <c r="I17" s="566">
        <f t="shared" si="5"/>
        <v>0.51</v>
      </c>
      <c r="J17" s="566">
        <f t="shared" si="6"/>
        <v>5.1</v>
      </c>
      <c r="K17" s="53">
        <v>0</v>
      </c>
      <c r="L17" s="566">
        <f t="shared" si="7"/>
        <v>0</v>
      </c>
      <c r="M17" s="566">
        <f t="shared" si="8"/>
        <v>0</v>
      </c>
      <c r="N17" s="566">
        <f t="shared" si="9"/>
        <v>0</v>
      </c>
      <c r="O17" s="53">
        <v>0</v>
      </c>
      <c r="P17" s="566">
        <f t="shared" si="10"/>
        <v>0</v>
      </c>
      <c r="Q17" s="566">
        <f t="shared" si="11"/>
        <v>0</v>
      </c>
      <c r="R17" s="566">
        <f t="shared" si="12"/>
        <v>0</v>
      </c>
      <c r="S17" s="567">
        <f t="shared" si="13"/>
        <v>97</v>
      </c>
      <c r="T17" s="568">
        <f t="shared" si="0"/>
        <v>10.26</v>
      </c>
      <c r="U17" s="568">
        <f t="shared" si="0"/>
        <v>1.1400000000000001</v>
      </c>
      <c r="V17" s="568">
        <f t="shared" si="0"/>
        <v>11.399999999999999</v>
      </c>
      <c r="W17" s="513"/>
      <c r="X17" s="513"/>
    </row>
    <row r="18" spans="1:24" ht="16.5" customHeight="1">
      <c r="A18" s="8">
        <v>7</v>
      </c>
      <c r="B18" s="53" t="s">
        <v>479</v>
      </c>
      <c r="C18" s="53">
        <v>96</v>
      </c>
      <c r="D18" s="566">
        <f t="shared" si="1"/>
        <v>8.64</v>
      </c>
      <c r="E18" s="566">
        <f t="shared" si="2"/>
        <v>0.96</v>
      </c>
      <c r="F18" s="566">
        <f t="shared" si="3"/>
        <v>9.600000000000001</v>
      </c>
      <c r="G18" s="53">
        <v>52</v>
      </c>
      <c r="H18" s="566">
        <f t="shared" si="4"/>
        <v>7.02</v>
      </c>
      <c r="I18" s="566">
        <f t="shared" si="5"/>
        <v>0.78</v>
      </c>
      <c r="J18" s="566">
        <f t="shared" si="6"/>
        <v>7.8</v>
      </c>
      <c r="K18" s="53">
        <v>0</v>
      </c>
      <c r="L18" s="566">
        <f t="shared" si="7"/>
        <v>0</v>
      </c>
      <c r="M18" s="566">
        <f t="shared" si="8"/>
        <v>0</v>
      </c>
      <c r="N18" s="566">
        <f t="shared" si="9"/>
        <v>0</v>
      </c>
      <c r="O18" s="53">
        <v>0</v>
      </c>
      <c r="P18" s="566">
        <f t="shared" si="10"/>
        <v>0</v>
      </c>
      <c r="Q18" s="566">
        <f t="shared" si="11"/>
        <v>0</v>
      </c>
      <c r="R18" s="566">
        <f t="shared" si="12"/>
        <v>0</v>
      </c>
      <c r="S18" s="567">
        <f t="shared" si="13"/>
        <v>148</v>
      </c>
      <c r="T18" s="568">
        <f t="shared" si="0"/>
        <v>15.66</v>
      </c>
      <c r="U18" s="568">
        <f t="shared" si="0"/>
        <v>1.74</v>
      </c>
      <c r="V18" s="568">
        <f t="shared" si="0"/>
        <v>17.400000000000002</v>
      </c>
      <c r="W18" s="513"/>
      <c r="X18" s="513"/>
    </row>
    <row r="19" spans="1:24" ht="16.5" customHeight="1">
      <c r="A19" s="8">
        <v>8</v>
      </c>
      <c r="B19" s="53" t="s">
        <v>480</v>
      </c>
      <c r="C19" s="53">
        <v>153</v>
      </c>
      <c r="D19" s="566">
        <f t="shared" si="1"/>
        <v>13.77</v>
      </c>
      <c r="E19" s="566">
        <f t="shared" si="2"/>
        <v>1.53</v>
      </c>
      <c r="F19" s="566">
        <f t="shared" si="3"/>
        <v>15.299999999999999</v>
      </c>
      <c r="G19" s="53">
        <v>82</v>
      </c>
      <c r="H19" s="566">
        <f t="shared" si="4"/>
        <v>11.07</v>
      </c>
      <c r="I19" s="566">
        <f t="shared" si="5"/>
        <v>1.23</v>
      </c>
      <c r="J19" s="566">
        <f t="shared" si="6"/>
        <v>12.3</v>
      </c>
      <c r="K19" s="53">
        <v>0</v>
      </c>
      <c r="L19" s="566">
        <f t="shared" si="7"/>
        <v>0</v>
      </c>
      <c r="M19" s="566">
        <f t="shared" si="8"/>
        <v>0</v>
      </c>
      <c r="N19" s="566">
        <f t="shared" si="9"/>
        <v>0</v>
      </c>
      <c r="O19" s="53">
        <v>0</v>
      </c>
      <c r="P19" s="566">
        <f t="shared" si="10"/>
        <v>0</v>
      </c>
      <c r="Q19" s="566">
        <f t="shared" si="11"/>
        <v>0</v>
      </c>
      <c r="R19" s="566">
        <f t="shared" si="12"/>
        <v>0</v>
      </c>
      <c r="S19" s="567">
        <f t="shared" si="13"/>
        <v>235</v>
      </c>
      <c r="T19" s="568">
        <f t="shared" si="0"/>
        <v>24.84</v>
      </c>
      <c r="U19" s="568">
        <f t="shared" si="0"/>
        <v>2.76</v>
      </c>
      <c r="V19" s="568">
        <f t="shared" si="0"/>
        <v>27.6</v>
      </c>
      <c r="W19" s="513"/>
      <c r="X19" s="513"/>
    </row>
    <row r="20" spans="1:22" ht="16.5" customHeight="1">
      <c r="A20" s="3"/>
      <c r="B20" s="53" t="s">
        <v>481</v>
      </c>
      <c r="C20" s="567">
        <f>SUM(C12:C19)</f>
        <v>873</v>
      </c>
      <c r="D20" s="568">
        <f aca="true" t="shared" si="14" ref="D20:S20">SUM(D12:D19)</f>
        <v>78.57</v>
      </c>
      <c r="E20" s="568">
        <f t="shared" si="14"/>
        <v>8.73</v>
      </c>
      <c r="F20" s="568">
        <f t="shared" si="14"/>
        <v>87.3</v>
      </c>
      <c r="G20" s="567">
        <f t="shared" si="14"/>
        <v>470</v>
      </c>
      <c r="H20" s="568">
        <f t="shared" si="14"/>
        <v>63.449999999999996</v>
      </c>
      <c r="I20" s="568">
        <f t="shared" si="14"/>
        <v>7.050000000000001</v>
      </c>
      <c r="J20" s="568">
        <f t="shared" si="14"/>
        <v>70.5</v>
      </c>
      <c r="K20" s="567">
        <f t="shared" si="14"/>
        <v>0</v>
      </c>
      <c r="L20" s="568">
        <f t="shared" si="14"/>
        <v>0</v>
      </c>
      <c r="M20" s="568">
        <f t="shared" si="14"/>
        <v>0</v>
      </c>
      <c r="N20" s="568">
        <f t="shared" si="14"/>
        <v>0</v>
      </c>
      <c r="O20" s="567">
        <f t="shared" si="14"/>
        <v>0</v>
      </c>
      <c r="P20" s="568">
        <f t="shared" si="14"/>
        <v>0</v>
      </c>
      <c r="Q20" s="568">
        <f t="shared" si="14"/>
        <v>0</v>
      </c>
      <c r="R20" s="568">
        <f t="shared" si="14"/>
        <v>0</v>
      </c>
      <c r="S20" s="567">
        <f t="shared" si="14"/>
        <v>1343</v>
      </c>
      <c r="T20" s="568">
        <f>SUM(T12:T19)</f>
        <v>142.02</v>
      </c>
      <c r="U20" s="568">
        <f>SUM(U12:U19)</f>
        <v>15.78</v>
      </c>
      <c r="V20" s="568">
        <f>SUM(V12:V19)</f>
        <v>157.8</v>
      </c>
    </row>
    <row r="22" spans="1:22" s="16" customFormat="1" ht="14.25">
      <c r="A22" s="15" t="s">
        <v>12</v>
      </c>
      <c r="C22" s="585"/>
      <c r="D22" s="502"/>
      <c r="E22" s="21"/>
      <c r="F22" s="21"/>
      <c r="G22" s="585"/>
      <c r="H22" s="514"/>
      <c r="K22" s="15"/>
      <c r="L22" s="15"/>
      <c r="M22" s="15"/>
      <c r="N22" s="15"/>
      <c r="O22" s="15"/>
      <c r="P22" s="15"/>
      <c r="Q22" s="15"/>
      <c r="R22" s="15"/>
      <c r="S22" s="699"/>
      <c r="T22" s="699"/>
      <c r="U22" s="699"/>
      <c r="V22" s="699"/>
    </row>
    <row r="23" spans="1:22" s="16" customFormat="1" ht="14.25">
      <c r="A23" s="15"/>
      <c r="C23" s="585"/>
      <c r="D23" s="502"/>
      <c r="E23" s="21"/>
      <c r="F23" s="21"/>
      <c r="G23" s="585"/>
      <c r="H23" s="514"/>
      <c r="K23" s="15"/>
      <c r="L23" s="15"/>
      <c r="M23" s="15"/>
      <c r="N23" s="15"/>
      <c r="O23" s="15"/>
      <c r="P23" s="15"/>
      <c r="Q23" s="15"/>
      <c r="R23" s="15"/>
      <c r="S23" s="122"/>
      <c r="T23" s="122"/>
      <c r="U23" s="122"/>
      <c r="V23" s="122"/>
    </row>
    <row r="24" spans="3:22" s="16" customFormat="1" ht="12.75" customHeight="1">
      <c r="C24" s="585"/>
      <c r="D24" s="502"/>
      <c r="E24" s="21"/>
      <c r="F24" s="433"/>
      <c r="G24" s="585"/>
      <c r="H24" s="514"/>
      <c r="K24" s="31"/>
      <c r="L24" s="31"/>
      <c r="M24" s="31"/>
      <c r="N24" s="31"/>
      <c r="O24" s="31"/>
      <c r="P24" s="31"/>
      <c r="Q24" s="31"/>
      <c r="R24" s="78"/>
      <c r="S24" s="699"/>
      <c r="T24" s="699"/>
      <c r="U24" s="31"/>
      <c r="V24" s="31"/>
    </row>
    <row r="25" spans="3:22" s="16" customFormat="1" ht="12.75" customHeight="1">
      <c r="C25" s="585"/>
      <c r="D25" s="502"/>
      <c r="E25" s="21"/>
      <c r="F25" s="433"/>
      <c r="G25" s="585"/>
      <c r="H25" s="514"/>
      <c r="K25" s="31"/>
      <c r="L25" s="31"/>
      <c r="M25" s="31"/>
      <c r="N25" s="31"/>
      <c r="O25" s="31"/>
      <c r="P25" s="31"/>
      <c r="Q25" s="676" t="s">
        <v>1062</v>
      </c>
      <c r="R25" s="676"/>
      <c r="S25" s="676"/>
      <c r="T25" s="676"/>
      <c r="U25" s="676"/>
      <c r="V25" s="676"/>
    </row>
    <row r="26" spans="1:22" s="16" customFormat="1" ht="14.25">
      <c r="A26" s="15"/>
      <c r="B26" s="15"/>
      <c r="C26" s="585"/>
      <c r="D26" s="502"/>
      <c r="E26" s="21"/>
      <c r="F26" s="21"/>
      <c r="G26" s="585"/>
      <c r="H26" s="514"/>
      <c r="K26" s="15"/>
      <c r="L26" s="15"/>
      <c r="M26" s="15"/>
      <c r="N26" s="15"/>
      <c r="O26" s="15"/>
      <c r="P26" s="15"/>
      <c r="Q26" s="676" t="s">
        <v>484</v>
      </c>
      <c r="R26" s="676"/>
      <c r="S26" s="676"/>
      <c r="T26" s="676"/>
      <c r="U26" s="676"/>
      <c r="V26" s="676"/>
    </row>
    <row r="27" spans="3:20" ht="15">
      <c r="C27" s="585"/>
      <c r="D27" s="585"/>
      <c r="E27" s="585"/>
      <c r="F27" s="585"/>
      <c r="G27" s="585"/>
      <c r="H27" s="514"/>
      <c r="R27" s="668" t="s">
        <v>80</v>
      </c>
      <c r="S27" s="668"/>
      <c r="T27" s="668"/>
    </row>
    <row r="28" spans="3:8" ht="15">
      <c r="C28" s="585"/>
      <c r="D28" s="502"/>
      <c r="E28" s="84"/>
      <c r="F28" s="84"/>
      <c r="G28" s="585"/>
      <c r="H28" s="514"/>
    </row>
    <row r="29" spans="3:8" ht="15">
      <c r="C29" s="585"/>
      <c r="D29" s="502"/>
      <c r="E29" s="84"/>
      <c r="F29" s="84"/>
      <c r="G29" s="585"/>
      <c r="H29" s="514"/>
    </row>
    <row r="30" spans="3:8" ht="15">
      <c r="C30" s="586"/>
      <c r="D30" s="502"/>
      <c r="E30" s="84"/>
      <c r="F30" s="84"/>
      <c r="G30" s="586"/>
      <c r="H30" s="514"/>
    </row>
  </sheetData>
  <sheetProtection/>
  <mergeCells count="25">
    <mergeCell ref="U1:V1"/>
    <mergeCell ref="E2:P2"/>
    <mergeCell ref="C4:Q4"/>
    <mergeCell ref="A8:A10"/>
    <mergeCell ref="B8:B10"/>
    <mergeCell ref="C8:F8"/>
    <mergeCell ref="G8:J8"/>
    <mergeCell ref="K8:N8"/>
    <mergeCell ref="O8:R8"/>
    <mergeCell ref="S8:V8"/>
    <mergeCell ref="C9:C10"/>
    <mergeCell ref="D9:F9"/>
    <mergeCell ref="G9:G10"/>
    <mergeCell ref="H9:J9"/>
    <mergeCell ref="K9:K10"/>
    <mergeCell ref="L9:N9"/>
    <mergeCell ref="R27:T27"/>
    <mergeCell ref="O9:O10"/>
    <mergeCell ref="P9:R9"/>
    <mergeCell ref="S9:S10"/>
    <mergeCell ref="T9:V9"/>
    <mergeCell ref="S22:V22"/>
    <mergeCell ref="S24:T24"/>
    <mergeCell ref="Q25:V25"/>
    <mergeCell ref="Q26:V26"/>
  </mergeCells>
  <printOptions/>
  <pageMargins left="0.6" right="0.2" top="0.75" bottom="0.75" header="0.3" footer="0.3"/>
  <pageSetup horizontalDpi="600" verticalDpi="600" orientation="landscape" paperSize="9" scale="80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view="pageBreakPreview" zoomScale="90" zoomScaleSheetLayoutView="90" zoomScalePageLayoutView="0" workbookViewId="0" topLeftCell="A1">
      <selection activeCell="H20" sqref="H20"/>
    </sheetView>
  </sheetViews>
  <sheetFormatPr defaultColWidth="8.8515625" defaultRowHeight="12.75"/>
  <cols>
    <col min="1" max="1" width="4.421875" style="76" customWidth="1"/>
    <col min="2" max="2" width="11.00390625" style="76" customWidth="1"/>
    <col min="3" max="3" width="12.140625" style="76" customWidth="1"/>
    <col min="4" max="4" width="12.8515625" style="76" customWidth="1"/>
    <col min="5" max="5" width="12.421875" style="76" customWidth="1"/>
    <col min="6" max="6" width="16.421875" style="76" customWidth="1"/>
    <col min="7" max="8" width="11.8515625" style="76" customWidth="1"/>
    <col min="9" max="9" width="14.8515625" style="76" customWidth="1"/>
    <col min="10" max="10" width="16.421875" style="76" customWidth="1"/>
    <col min="11" max="11" width="16.8515625" style="76" customWidth="1"/>
    <col min="12" max="12" width="16.28125" style="76" customWidth="1"/>
    <col min="13" max="16384" width="8.8515625" style="76" customWidth="1"/>
  </cols>
  <sheetData>
    <row r="1" spans="2:12" ht="15">
      <c r="B1" s="16"/>
      <c r="C1" s="16"/>
      <c r="D1" s="16"/>
      <c r="E1" s="16"/>
      <c r="F1" s="1"/>
      <c r="G1" s="1"/>
      <c r="H1" s="16"/>
      <c r="J1" s="42"/>
      <c r="K1" s="833" t="s">
        <v>744</v>
      </c>
      <c r="L1" s="833"/>
    </row>
    <row r="2" spans="1:12" ht="15.75">
      <c r="A2" s="700" t="s">
        <v>0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  <c r="L2" s="700"/>
    </row>
    <row r="3" spans="1:12" ht="20.25">
      <c r="A3" s="701" t="s">
        <v>878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</row>
    <row r="4" spans="2:10" ht="20.25">
      <c r="B4" s="123"/>
      <c r="C4" s="123"/>
      <c r="D4" s="123"/>
      <c r="E4" s="123"/>
      <c r="F4" s="123"/>
      <c r="G4" s="123"/>
      <c r="H4" s="123"/>
      <c r="I4" s="123"/>
      <c r="J4" s="123"/>
    </row>
    <row r="5" spans="1:12" ht="15" customHeight="1">
      <c r="A5" s="1065" t="s">
        <v>952</v>
      </c>
      <c r="B5" s="1065"/>
      <c r="C5" s="1065"/>
      <c r="D5" s="1065"/>
      <c r="E5" s="1065"/>
      <c r="F5" s="1065"/>
      <c r="G5" s="1065"/>
      <c r="H5" s="1065"/>
      <c r="I5" s="1065"/>
      <c r="J5" s="1065"/>
      <c r="K5" s="1065"/>
      <c r="L5" s="1065"/>
    </row>
    <row r="6" spans="1:12" ht="15" customHeight="1">
      <c r="A6" s="668" t="s">
        <v>472</v>
      </c>
      <c r="B6" s="668"/>
      <c r="C6" s="297"/>
      <c r="D6" s="297"/>
      <c r="E6" s="297"/>
      <c r="F6" s="297"/>
      <c r="G6" s="297"/>
      <c r="H6" s="297"/>
      <c r="I6" s="297"/>
      <c r="J6" s="297"/>
      <c r="K6" s="297"/>
      <c r="L6" s="297"/>
    </row>
    <row r="7" ht="14.25">
      <c r="C7" s="29"/>
    </row>
    <row r="8" spans="1:12" s="305" customFormat="1" ht="15" customHeight="1">
      <c r="A8" s="1046" t="s">
        <v>746</v>
      </c>
      <c r="B8" s="1046" t="s">
        <v>3</v>
      </c>
      <c r="C8" s="1051" t="s">
        <v>22</v>
      </c>
      <c r="D8" s="1051"/>
      <c r="E8" s="1051"/>
      <c r="F8" s="1051"/>
      <c r="G8" s="1058" t="s">
        <v>23</v>
      </c>
      <c r="H8" s="1059"/>
      <c r="I8" s="1059"/>
      <c r="J8" s="1060"/>
      <c r="K8" s="1046" t="s">
        <v>385</v>
      </c>
      <c r="L8" s="1049" t="s">
        <v>801</v>
      </c>
    </row>
    <row r="9" spans="1:12" s="305" customFormat="1" ht="23.25" customHeight="1">
      <c r="A9" s="1062"/>
      <c r="B9" s="1062"/>
      <c r="C9" s="1049" t="s">
        <v>241</v>
      </c>
      <c r="D9" s="1046" t="s">
        <v>440</v>
      </c>
      <c r="E9" s="1063" t="s">
        <v>92</v>
      </c>
      <c r="F9" s="1048"/>
      <c r="G9" s="1047" t="s">
        <v>241</v>
      </c>
      <c r="H9" s="1049" t="s">
        <v>440</v>
      </c>
      <c r="I9" s="1067" t="s">
        <v>92</v>
      </c>
      <c r="J9" s="1068"/>
      <c r="K9" s="1062"/>
      <c r="L9" s="1049"/>
    </row>
    <row r="10" spans="1:15" s="305" customFormat="1" ht="57" customHeight="1">
      <c r="A10" s="1047"/>
      <c r="B10" s="1047"/>
      <c r="C10" s="1049"/>
      <c r="D10" s="1047"/>
      <c r="E10" s="299" t="s">
        <v>920</v>
      </c>
      <c r="F10" s="299" t="s">
        <v>441</v>
      </c>
      <c r="G10" s="1049"/>
      <c r="H10" s="1049"/>
      <c r="I10" s="299" t="s">
        <v>920</v>
      </c>
      <c r="J10" s="299" t="s">
        <v>441</v>
      </c>
      <c r="K10" s="1047"/>
      <c r="L10" s="1049"/>
      <c r="M10" s="306"/>
      <c r="N10" s="306"/>
      <c r="O10" s="306"/>
    </row>
    <row r="11" spans="1:15" ht="14.25">
      <c r="A11" s="146">
        <v>1</v>
      </c>
      <c r="B11" s="145">
        <v>2</v>
      </c>
      <c r="C11" s="146">
        <v>3</v>
      </c>
      <c r="D11" s="145">
        <v>4</v>
      </c>
      <c r="E11" s="146">
        <v>5</v>
      </c>
      <c r="F11" s="145">
        <v>6</v>
      </c>
      <c r="G11" s="146">
        <v>7</v>
      </c>
      <c r="H11" s="145">
        <v>8</v>
      </c>
      <c r="I11" s="146">
        <v>9</v>
      </c>
      <c r="J11" s="145">
        <v>10</v>
      </c>
      <c r="K11" s="146" t="s">
        <v>745</v>
      </c>
      <c r="L11" s="145">
        <v>12</v>
      </c>
      <c r="M11" s="111"/>
      <c r="N11" s="111"/>
      <c r="O11" s="111"/>
    </row>
    <row r="12" spans="1:19" s="109" customFormat="1" ht="14.25">
      <c r="A12" s="8">
        <v>1</v>
      </c>
      <c r="B12" s="19" t="s">
        <v>473</v>
      </c>
      <c r="C12" s="110">
        <f>'enrolment vs availed_PY'!G11</f>
        <v>50545</v>
      </c>
      <c r="D12" s="110">
        <f>'AT-8_Hon_CCH_Pry'!C14</f>
        <v>1213</v>
      </c>
      <c r="E12" s="584">
        <f>'AT-8_Hon_CCH_Pry'!D14</f>
        <v>1209</v>
      </c>
      <c r="F12" s="110">
        <v>2</v>
      </c>
      <c r="G12" s="110">
        <f>'enrolment vs availed_UPY'!G11</f>
        <v>32819</v>
      </c>
      <c r="H12" s="110">
        <f>'AT-8A_Hon_CCH_UPry'!C13</f>
        <v>582</v>
      </c>
      <c r="I12" s="584">
        <f>'AT-8A_Hon_CCH_UPry'!D13</f>
        <v>583</v>
      </c>
      <c r="J12" s="110">
        <v>4</v>
      </c>
      <c r="K12" s="109">
        <f>E12+F12+I12+J12</f>
        <v>1798</v>
      </c>
      <c r="L12" s="363">
        <f>K12*1500*10/100000</f>
        <v>269.7</v>
      </c>
      <c r="M12" s="111"/>
      <c r="N12" s="111"/>
      <c r="O12" s="111"/>
      <c r="P12" s="111"/>
      <c r="Q12" s="111"/>
      <c r="R12" s="111"/>
      <c r="S12" s="111"/>
    </row>
    <row r="13" spans="1:15" ht="14.25">
      <c r="A13" s="8">
        <v>2</v>
      </c>
      <c r="B13" s="19" t="s">
        <v>474</v>
      </c>
      <c r="C13" s="110">
        <f>'enrolment vs availed_PY'!G12</f>
        <v>34192</v>
      </c>
      <c r="D13" s="110">
        <f>'AT-8_Hon_CCH_Pry'!C15</f>
        <v>1004</v>
      </c>
      <c r="E13" s="584">
        <f>'AT-8_Hon_CCH_Pry'!D15</f>
        <v>1000</v>
      </c>
      <c r="F13" s="110">
        <v>0</v>
      </c>
      <c r="G13" s="110">
        <f>'enrolment vs availed_UPY'!G12</f>
        <v>22302</v>
      </c>
      <c r="H13" s="110">
        <f>'AT-8A_Hon_CCH_UPry'!C14</f>
        <v>515</v>
      </c>
      <c r="I13" s="584">
        <f>'AT-8A_Hon_CCH_UPry'!D14</f>
        <v>516</v>
      </c>
      <c r="J13" s="110">
        <v>0</v>
      </c>
      <c r="K13" s="109">
        <f aca="true" t="shared" si="0" ref="K13:K19">E13+F13+I13+J13</f>
        <v>1516</v>
      </c>
      <c r="L13" s="363">
        <f aca="true" t="shared" si="1" ref="L13:L19">K13*1500*10/100000</f>
        <v>227.4</v>
      </c>
      <c r="M13" s="111"/>
      <c r="N13" s="111"/>
      <c r="O13" s="111"/>
    </row>
    <row r="14" spans="1:15" ht="14.25">
      <c r="A14" s="8">
        <v>3</v>
      </c>
      <c r="B14" s="19" t="s">
        <v>475</v>
      </c>
      <c r="C14" s="110">
        <f>'enrolment vs availed_PY'!G13</f>
        <v>20875</v>
      </c>
      <c r="D14" s="110">
        <f>'AT-8_Hon_CCH_Pry'!C16</f>
        <v>656</v>
      </c>
      <c r="E14" s="584">
        <f>'AT-8_Hon_CCH_Pry'!D16</f>
        <v>654</v>
      </c>
      <c r="F14" s="110">
        <v>0</v>
      </c>
      <c r="G14" s="110">
        <f>'enrolment vs availed_UPY'!G13</f>
        <v>13742</v>
      </c>
      <c r="H14" s="110">
        <f>'AT-8A_Hon_CCH_UPry'!C15</f>
        <v>388</v>
      </c>
      <c r="I14" s="584">
        <f>'AT-8A_Hon_CCH_UPry'!D15</f>
        <v>389</v>
      </c>
      <c r="J14" s="110">
        <v>0</v>
      </c>
      <c r="K14" s="109">
        <f t="shared" si="0"/>
        <v>1043</v>
      </c>
      <c r="L14" s="363">
        <f t="shared" si="1"/>
        <v>156.45</v>
      </c>
      <c r="M14" s="111"/>
      <c r="N14" s="111"/>
      <c r="O14" s="111"/>
    </row>
    <row r="15" spans="1:12" ht="14.25">
      <c r="A15" s="8">
        <v>4</v>
      </c>
      <c r="B15" s="19" t="s">
        <v>476</v>
      </c>
      <c r="C15" s="110">
        <f>'enrolment vs availed_PY'!G14</f>
        <v>30174</v>
      </c>
      <c r="D15" s="110">
        <f>'AT-8_Hon_CCH_Pry'!C17</f>
        <v>812</v>
      </c>
      <c r="E15" s="584">
        <f>'AT-8_Hon_CCH_Pry'!D17</f>
        <v>809</v>
      </c>
      <c r="F15" s="110">
        <v>0</v>
      </c>
      <c r="G15" s="110">
        <f>'enrolment vs availed_UPY'!G14</f>
        <v>19566</v>
      </c>
      <c r="H15" s="110">
        <f>'AT-8A_Hon_CCH_UPry'!C16</f>
        <v>416</v>
      </c>
      <c r="I15" s="584">
        <f>'AT-8A_Hon_CCH_UPry'!D16</f>
        <v>417</v>
      </c>
      <c r="J15" s="110">
        <v>0</v>
      </c>
      <c r="K15" s="109">
        <f t="shared" si="0"/>
        <v>1226</v>
      </c>
      <c r="L15" s="363">
        <f t="shared" si="1"/>
        <v>183.9</v>
      </c>
    </row>
    <row r="16" spans="1:14" ht="14.25">
      <c r="A16" s="8">
        <v>5</v>
      </c>
      <c r="B16" s="19" t="s">
        <v>477</v>
      </c>
      <c r="C16" s="110">
        <f>'enrolment vs availed_PY'!G15</f>
        <v>30818</v>
      </c>
      <c r="D16" s="110">
        <f>'AT-8_Hon_CCH_Pry'!C18</f>
        <v>946</v>
      </c>
      <c r="E16" s="584">
        <f>'AT-8_Hon_CCH_Pry'!D18</f>
        <v>942</v>
      </c>
      <c r="F16" s="110">
        <v>0</v>
      </c>
      <c r="G16" s="110">
        <f>'enrolment vs availed_UPY'!G15</f>
        <v>21629</v>
      </c>
      <c r="H16" s="110">
        <f>'AT-8A_Hon_CCH_UPry'!C17</f>
        <v>574</v>
      </c>
      <c r="I16" s="584">
        <f>'AT-8A_Hon_CCH_UPry'!D17</f>
        <v>576</v>
      </c>
      <c r="J16" s="110">
        <v>0</v>
      </c>
      <c r="K16" s="109">
        <f t="shared" si="0"/>
        <v>1518</v>
      </c>
      <c r="L16" s="363">
        <f t="shared" si="1"/>
        <v>227.7</v>
      </c>
      <c r="N16" s="76" t="s">
        <v>11</v>
      </c>
    </row>
    <row r="17" spans="1:12" ht="14.25">
      <c r="A17" s="8">
        <v>6</v>
      </c>
      <c r="B17" s="19" t="s">
        <v>478</v>
      </c>
      <c r="C17" s="110">
        <f>'enrolment vs availed_PY'!G16</f>
        <v>24089</v>
      </c>
      <c r="D17" s="110">
        <f>'AT-8_Hon_CCH_Pry'!C19</f>
        <v>621</v>
      </c>
      <c r="E17" s="584">
        <f>'AT-8_Hon_CCH_Pry'!D19</f>
        <v>619</v>
      </c>
      <c r="F17" s="110">
        <v>4</v>
      </c>
      <c r="G17" s="110">
        <f>'enrolment vs availed_UPY'!G16</f>
        <v>15194</v>
      </c>
      <c r="H17" s="110">
        <f>'AT-8A_Hon_CCH_UPry'!C18</f>
        <v>274</v>
      </c>
      <c r="I17" s="584">
        <f>'AT-8A_Hon_CCH_UPry'!D18</f>
        <v>275</v>
      </c>
      <c r="J17" s="110">
        <v>3</v>
      </c>
      <c r="K17" s="109">
        <f t="shared" si="0"/>
        <v>901</v>
      </c>
      <c r="L17" s="363">
        <f t="shared" si="1"/>
        <v>135.15</v>
      </c>
    </row>
    <row r="18" spans="1:12" ht="14.25">
      <c r="A18" s="8">
        <v>7</v>
      </c>
      <c r="B18" s="19" t="s">
        <v>479</v>
      </c>
      <c r="C18" s="110">
        <f>'enrolment vs availed_PY'!G17</f>
        <v>39226</v>
      </c>
      <c r="D18" s="110">
        <f>'AT-8_Hon_CCH_Pry'!C20</f>
        <v>966</v>
      </c>
      <c r="E18" s="584">
        <f>'AT-8_Hon_CCH_Pry'!D20</f>
        <v>962</v>
      </c>
      <c r="F18" s="110">
        <v>0</v>
      </c>
      <c r="G18" s="110">
        <f>'enrolment vs availed_UPY'!G17</f>
        <v>21137</v>
      </c>
      <c r="H18" s="110">
        <f>'AT-8A_Hon_CCH_UPry'!C19</f>
        <v>360</v>
      </c>
      <c r="I18" s="584">
        <f>'AT-8A_Hon_CCH_UPry'!D19</f>
        <v>361</v>
      </c>
      <c r="J18" s="110">
        <v>0</v>
      </c>
      <c r="K18" s="109">
        <f t="shared" si="0"/>
        <v>1323</v>
      </c>
      <c r="L18" s="363">
        <f t="shared" si="1"/>
        <v>198.45</v>
      </c>
    </row>
    <row r="19" spans="1:12" ht="14.25">
      <c r="A19" s="8">
        <v>8</v>
      </c>
      <c r="B19" s="19" t="s">
        <v>480</v>
      </c>
      <c r="C19" s="110">
        <f>'enrolment vs availed_PY'!G18</f>
        <v>36407</v>
      </c>
      <c r="D19" s="110">
        <f>'AT-8_Hon_CCH_Pry'!C21</f>
        <v>1116</v>
      </c>
      <c r="E19" s="584">
        <f>'AT-8_Hon_CCH_Pry'!D21</f>
        <v>1112</v>
      </c>
      <c r="F19" s="110">
        <v>2</v>
      </c>
      <c r="G19" s="110">
        <f>'enrolment vs availed_UPY'!G18</f>
        <v>19564</v>
      </c>
      <c r="H19" s="110">
        <f>'AT-8A_Hon_CCH_UPry'!C20</f>
        <v>585</v>
      </c>
      <c r="I19" s="584">
        <f>'AT-8A_Hon_CCH_UPry'!D20</f>
        <v>587</v>
      </c>
      <c r="J19" s="110">
        <v>2</v>
      </c>
      <c r="K19" s="109">
        <f t="shared" si="0"/>
        <v>1703</v>
      </c>
      <c r="L19" s="363">
        <f t="shared" si="1"/>
        <v>255.45</v>
      </c>
    </row>
    <row r="20" spans="1:12" ht="14.25">
      <c r="A20" s="3"/>
      <c r="B20" s="27" t="s">
        <v>481</v>
      </c>
      <c r="C20" s="109">
        <f>SUM(C12:C19)</f>
        <v>266326</v>
      </c>
      <c r="D20" s="109">
        <f aca="true" t="shared" si="2" ref="D20:K20">SUM(D12:D19)</f>
        <v>7334</v>
      </c>
      <c r="E20" s="109">
        <f t="shared" si="2"/>
        <v>7307</v>
      </c>
      <c r="F20" s="109">
        <f t="shared" si="2"/>
        <v>8</v>
      </c>
      <c r="G20" s="109">
        <f t="shared" si="2"/>
        <v>165953</v>
      </c>
      <c r="H20" s="109">
        <f t="shared" si="2"/>
        <v>3694</v>
      </c>
      <c r="I20" s="109">
        <f t="shared" si="2"/>
        <v>3704</v>
      </c>
      <c r="J20" s="109">
        <f t="shared" si="2"/>
        <v>9</v>
      </c>
      <c r="K20" s="109">
        <f t="shared" si="2"/>
        <v>11028</v>
      </c>
      <c r="L20" s="364">
        <f>SUM(L12:L19)</f>
        <v>1654.2</v>
      </c>
    </row>
    <row r="21" spans="1:12" s="532" customFormat="1" ht="17.25" customHeight="1">
      <c r="A21" s="1066" t="s">
        <v>802</v>
      </c>
      <c r="B21" s="1066"/>
      <c r="C21" s="1066"/>
      <c r="D21" s="1066"/>
      <c r="E21" s="1066"/>
      <c r="F21" s="1066"/>
      <c r="G21" s="1066"/>
      <c r="H21" s="1066"/>
      <c r="I21" s="1066"/>
      <c r="J21" s="1066"/>
      <c r="K21" s="1066"/>
      <c r="L21" s="1066"/>
    </row>
    <row r="22" spans="1:12" s="532" customFormat="1" ht="17.25" customHeight="1">
      <c r="A22" s="1064" t="s">
        <v>803</v>
      </c>
      <c r="B22" s="1064"/>
      <c r="C22" s="1064"/>
      <c r="D22" s="1064"/>
      <c r="E22" s="1064"/>
      <c r="F22" s="1064"/>
      <c r="G22" s="1064"/>
      <c r="H22" s="1064"/>
      <c r="I22" s="1064"/>
      <c r="J22" s="1064"/>
      <c r="K22" s="1064"/>
      <c r="L22" s="1064"/>
    </row>
    <row r="23" spans="1:12" ht="17.25" customHeight="1">
      <c r="A23" s="531"/>
      <c r="B23" s="531"/>
      <c r="C23" s="531"/>
      <c r="D23" s="531"/>
      <c r="E23" s="531"/>
      <c r="F23" s="531"/>
      <c r="G23" s="531"/>
      <c r="H23" s="531"/>
      <c r="I23" s="531"/>
      <c r="J23" s="531"/>
      <c r="K23" s="531"/>
      <c r="L23" s="531" t="s">
        <v>11</v>
      </c>
    </row>
    <row r="24" ht="14.25">
      <c r="F24" s="76" t="s">
        <v>11</v>
      </c>
    </row>
    <row r="25" spans="1:15" s="16" customFormat="1" ht="15.75" customHeight="1">
      <c r="A25" s="676" t="s">
        <v>12</v>
      </c>
      <c r="B25" s="676"/>
      <c r="C25" s="1"/>
      <c r="D25" s="15"/>
      <c r="E25" s="15"/>
      <c r="H25" s="85"/>
      <c r="I25" s="699"/>
      <c r="J25" s="699"/>
      <c r="K25" s="699"/>
      <c r="L25" s="699"/>
      <c r="M25" s="86"/>
      <c r="N25" s="86"/>
      <c r="O25" s="86"/>
    </row>
    <row r="26" spans="7:19" s="16" customFormat="1" ht="12.75" customHeight="1">
      <c r="G26" s="16" t="s">
        <v>11</v>
      </c>
      <c r="I26" s="676" t="s">
        <v>1062</v>
      </c>
      <c r="J26" s="676"/>
      <c r="K26" s="676"/>
      <c r="L26" s="676"/>
      <c r="M26" s="31"/>
      <c r="N26" s="31"/>
      <c r="O26" s="31"/>
      <c r="P26" s="85"/>
      <c r="Q26" s="85"/>
      <c r="R26" s="85"/>
      <c r="S26" s="85"/>
    </row>
    <row r="27" spans="9:19" s="16" customFormat="1" ht="12.75">
      <c r="I27" s="676" t="s">
        <v>484</v>
      </c>
      <c r="J27" s="676"/>
      <c r="K27" s="676"/>
      <c r="L27" s="676"/>
      <c r="M27" s="31"/>
      <c r="N27" s="31"/>
      <c r="O27" s="31"/>
      <c r="P27" s="85"/>
      <c r="Q27" s="85"/>
      <c r="R27" s="85"/>
      <c r="S27" s="85"/>
    </row>
    <row r="28" spans="2:15" s="16" customFormat="1" ht="12.75">
      <c r="B28" s="15"/>
      <c r="C28" s="15"/>
      <c r="D28" s="15"/>
      <c r="E28" s="15"/>
      <c r="I28" s="31"/>
      <c r="J28" s="31" t="s">
        <v>547</v>
      </c>
      <c r="K28" s="31"/>
      <c r="L28" s="31"/>
      <c r="M28" s="31"/>
      <c r="N28" s="31"/>
      <c r="O28" s="31"/>
    </row>
  </sheetData>
  <sheetProtection/>
  <mergeCells count="23">
    <mergeCell ref="A2:L2"/>
    <mergeCell ref="A3:L3"/>
    <mergeCell ref="H9:H10"/>
    <mergeCell ref="G9:G10"/>
    <mergeCell ref="I9:J9"/>
    <mergeCell ref="C9:C10"/>
    <mergeCell ref="K1:L1"/>
    <mergeCell ref="G8:J8"/>
    <mergeCell ref="A25:B25"/>
    <mergeCell ref="I25:L25"/>
    <mergeCell ref="A5:L5"/>
    <mergeCell ref="K8:K10"/>
    <mergeCell ref="A21:L21"/>
    <mergeCell ref="C8:F8"/>
    <mergeCell ref="A6:B6"/>
    <mergeCell ref="L8:L10"/>
    <mergeCell ref="I26:L26"/>
    <mergeCell ref="I27:L27"/>
    <mergeCell ref="A8:A10"/>
    <mergeCell ref="B8:B10"/>
    <mergeCell ref="D9:D10"/>
    <mergeCell ref="E9:F9"/>
    <mergeCell ref="A22:L22"/>
  </mergeCells>
  <printOptions horizontalCentered="1"/>
  <pageMargins left="0.7086614173228347" right="0.24" top="1.12" bottom="0" header="0.75" footer="0.31496062992125984"/>
  <pageSetup fitToHeight="1" fitToWidth="1" horizontalDpi="600" verticalDpi="600" orientation="landscape" paperSize="9" scale="88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50"/>
  <sheetViews>
    <sheetView view="pageBreakPreview" zoomScale="90" zoomScaleSheetLayoutView="90" zoomScalePageLayoutView="0" workbookViewId="0" topLeftCell="A7">
      <selection activeCell="B10" sqref="B10:B12"/>
    </sheetView>
  </sheetViews>
  <sheetFormatPr defaultColWidth="9.140625" defaultRowHeight="12.75"/>
  <cols>
    <col min="1" max="1" width="4.57421875" style="164" customWidth="1"/>
    <col min="2" max="2" width="40.57421875" style="164" customWidth="1"/>
    <col min="3" max="4" width="7.8515625" style="164" customWidth="1"/>
    <col min="5" max="5" width="8.57421875" style="164" customWidth="1"/>
    <col min="6" max="11" width="7.8515625" style="164" customWidth="1"/>
    <col min="12" max="23" width="8.00390625" style="164" customWidth="1"/>
    <col min="24" max="24" width="10.00390625" style="164" bestFit="1" customWidth="1"/>
    <col min="25" max="16384" width="9.140625" style="164" customWidth="1"/>
  </cols>
  <sheetData>
    <row r="1" spans="15:21" ht="15">
      <c r="O1" s="1072" t="s">
        <v>747</v>
      </c>
      <c r="P1" s="1072"/>
      <c r="Q1" s="1072"/>
      <c r="R1" s="1072"/>
      <c r="S1" s="1072"/>
      <c r="T1" s="1072"/>
      <c r="U1" s="1072"/>
    </row>
    <row r="2" spans="1:24" ht="15.75">
      <c r="A2" s="1079" t="s">
        <v>0</v>
      </c>
      <c r="B2" s="1079"/>
      <c r="C2" s="1079"/>
      <c r="D2" s="1079"/>
      <c r="E2" s="1079"/>
      <c r="F2" s="1079"/>
      <c r="G2" s="1079"/>
      <c r="H2" s="1079"/>
      <c r="I2" s="1079"/>
      <c r="J2" s="1079"/>
      <c r="K2" s="1079"/>
      <c r="L2" s="1079"/>
      <c r="M2" s="1079"/>
      <c r="N2" s="1079"/>
      <c r="O2" s="1079"/>
      <c r="P2" s="1079"/>
      <c r="Q2" s="1079"/>
      <c r="R2" s="1079"/>
      <c r="S2" s="1079"/>
      <c r="T2" s="1079"/>
      <c r="U2" s="1079"/>
      <c r="V2" s="1079"/>
      <c r="W2" s="1079"/>
      <c r="X2" s="1079"/>
    </row>
    <row r="3" spans="6:21" ht="15.75">
      <c r="F3" s="165"/>
      <c r="G3" s="165"/>
      <c r="H3" s="165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</row>
    <row r="4" spans="1:24" ht="18">
      <c r="A4" s="1069" t="s">
        <v>878</v>
      </c>
      <c r="B4" s="1069"/>
      <c r="C4" s="1069"/>
      <c r="D4" s="1069"/>
      <c r="E4" s="1069"/>
      <c r="F4" s="1069"/>
      <c r="G4" s="1069"/>
      <c r="H4" s="1069"/>
      <c r="I4" s="1069"/>
      <c r="J4" s="1069"/>
      <c r="K4" s="1069"/>
      <c r="L4" s="1069"/>
      <c r="M4" s="1069"/>
      <c r="N4" s="1069"/>
      <c r="O4" s="1069"/>
      <c r="P4" s="1069"/>
      <c r="Q4" s="1069"/>
      <c r="R4" s="1069"/>
      <c r="S4" s="1069"/>
      <c r="T4" s="1069"/>
      <c r="U4" s="1069"/>
      <c r="V4" s="1069"/>
      <c r="W4" s="1069"/>
      <c r="X4" s="1069"/>
    </row>
    <row r="5" ht="12.75">
      <c r="C5" s="164" t="s">
        <v>11</v>
      </c>
    </row>
    <row r="6" spans="1:24" ht="15.75">
      <c r="A6" s="1070" t="s">
        <v>953</v>
      </c>
      <c r="B6" s="1070"/>
      <c r="C6" s="1070"/>
      <c r="D6" s="1070"/>
      <c r="E6" s="1070"/>
      <c r="F6" s="1070"/>
      <c r="G6" s="1070"/>
      <c r="H6" s="1070"/>
      <c r="I6" s="1070"/>
      <c r="J6" s="1070"/>
      <c r="K6" s="1070"/>
      <c r="L6" s="1070"/>
      <c r="M6" s="1070"/>
      <c r="N6" s="1070"/>
      <c r="O6" s="1070"/>
      <c r="P6" s="1070"/>
      <c r="Q6" s="1070"/>
      <c r="R6" s="1070"/>
      <c r="S6" s="1070"/>
      <c r="T6" s="1070"/>
      <c r="U6" s="1070"/>
      <c r="V6" s="1070"/>
      <c r="W6" s="1070"/>
      <c r="X6" s="1070"/>
    </row>
    <row r="8" spans="1:2" ht="12.75">
      <c r="A8" s="668" t="s">
        <v>472</v>
      </c>
      <c r="B8" s="668"/>
    </row>
    <row r="9" spans="1:23" ht="18">
      <c r="A9" s="167"/>
      <c r="B9" s="167"/>
      <c r="V9" s="1090" t="s">
        <v>249</v>
      </c>
      <c r="W9" s="1090"/>
    </row>
    <row r="10" spans="1:248" s="409" customFormat="1" ht="12.75" customHeight="1">
      <c r="A10" s="1082" t="s">
        <v>814</v>
      </c>
      <c r="B10" s="1082" t="s">
        <v>104</v>
      </c>
      <c r="C10" s="1076" t="s">
        <v>22</v>
      </c>
      <c r="D10" s="1077"/>
      <c r="E10" s="1077"/>
      <c r="F10" s="1077"/>
      <c r="G10" s="1077"/>
      <c r="H10" s="1077"/>
      <c r="I10" s="1077"/>
      <c r="J10" s="1077"/>
      <c r="K10" s="1078"/>
      <c r="L10" s="1076" t="s">
        <v>23</v>
      </c>
      <c r="M10" s="1077"/>
      <c r="N10" s="1077"/>
      <c r="O10" s="1077"/>
      <c r="P10" s="1077"/>
      <c r="Q10" s="1077"/>
      <c r="R10" s="1077"/>
      <c r="S10" s="1077"/>
      <c r="T10" s="1078"/>
      <c r="U10" s="1080" t="s">
        <v>139</v>
      </c>
      <c r="V10" s="1080"/>
      <c r="W10" s="1080"/>
      <c r="X10" s="1081" t="s">
        <v>16</v>
      </c>
      <c r="Y10" s="407"/>
      <c r="Z10" s="407"/>
      <c r="AA10" s="407"/>
      <c r="AB10" s="407"/>
      <c r="AC10" s="408"/>
      <c r="AD10" s="407"/>
      <c r="AE10" s="407"/>
      <c r="AF10" s="407"/>
      <c r="AG10" s="407"/>
      <c r="AH10" s="407"/>
      <c r="AI10" s="407"/>
      <c r="AJ10" s="407"/>
      <c r="AK10" s="407"/>
      <c r="AL10" s="407"/>
      <c r="AM10" s="407"/>
      <c r="AN10" s="407"/>
      <c r="AO10" s="407"/>
      <c r="AP10" s="407"/>
      <c r="AQ10" s="407"/>
      <c r="AR10" s="407"/>
      <c r="AS10" s="407"/>
      <c r="AT10" s="407"/>
      <c r="AU10" s="407"/>
      <c r="AV10" s="407"/>
      <c r="AW10" s="407"/>
      <c r="AX10" s="407"/>
      <c r="AY10" s="407"/>
      <c r="AZ10" s="407"/>
      <c r="BA10" s="407"/>
      <c r="BB10" s="407"/>
      <c r="BC10" s="407"/>
      <c r="BD10" s="407"/>
      <c r="BE10" s="407"/>
      <c r="BF10" s="407"/>
      <c r="BG10" s="407"/>
      <c r="BH10" s="407"/>
      <c r="BI10" s="407"/>
      <c r="BJ10" s="407"/>
      <c r="BK10" s="407"/>
      <c r="BL10" s="407"/>
      <c r="BM10" s="407"/>
      <c r="BN10" s="407"/>
      <c r="BO10" s="407"/>
      <c r="BP10" s="407"/>
      <c r="BQ10" s="407"/>
      <c r="BR10" s="407"/>
      <c r="BS10" s="407"/>
      <c r="BT10" s="407"/>
      <c r="BU10" s="407"/>
      <c r="BV10" s="407"/>
      <c r="BW10" s="407"/>
      <c r="BX10" s="407"/>
      <c r="BY10" s="407"/>
      <c r="BZ10" s="407"/>
      <c r="CA10" s="407"/>
      <c r="CB10" s="407"/>
      <c r="CC10" s="407"/>
      <c r="CD10" s="407"/>
      <c r="CE10" s="407"/>
      <c r="CF10" s="407"/>
      <c r="CG10" s="407"/>
      <c r="CH10" s="407"/>
      <c r="CI10" s="407"/>
      <c r="CJ10" s="407"/>
      <c r="CK10" s="407"/>
      <c r="CL10" s="407"/>
      <c r="CM10" s="407"/>
      <c r="CN10" s="407"/>
      <c r="CO10" s="407"/>
      <c r="CP10" s="407"/>
      <c r="CQ10" s="407"/>
      <c r="CR10" s="407"/>
      <c r="CS10" s="407"/>
      <c r="CT10" s="407"/>
      <c r="CU10" s="407"/>
      <c r="CV10" s="407"/>
      <c r="CW10" s="407"/>
      <c r="CX10" s="407"/>
      <c r="CY10" s="407"/>
      <c r="CZ10" s="407"/>
      <c r="DA10" s="407"/>
      <c r="DB10" s="407"/>
      <c r="DC10" s="407"/>
      <c r="DD10" s="407"/>
      <c r="DE10" s="407"/>
      <c r="DF10" s="407"/>
      <c r="DG10" s="407"/>
      <c r="DH10" s="407"/>
      <c r="DI10" s="407"/>
      <c r="DJ10" s="407"/>
      <c r="DK10" s="407"/>
      <c r="DL10" s="407"/>
      <c r="DM10" s="407"/>
      <c r="DN10" s="407"/>
      <c r="DO10" s="407"/>
      <c r="DP10" s="407"/>
      <c r="DQ10" s="407"/>
      <c r="DR10" s="407"/>
      <c r="DS10" s="407"/>
      <c r="DT10" s="407"/>
      <c r="DU10" s="407"/>
      <c r="DV10" s="407"/>
      <c r="DW10" s="407"/>
      <c r="DX10" s="407"/>
      <c r="DY10" s="407"/>
      <c r="DZ10" s="407"/>
      <c r="EA10" s="407"/>
      <c r="EB10" s="407"/>
      <c r="EC10" s="407"/>
      <c r="ED10" s="407"/>
      <c r="EE10" s="407"/>
      <c r="EF10" s="407"/>
      <c r="EG10" s="407"/>
      <c r="EH10" s="407"/>
      <c r="EI10" s="407"/>
      <c r="EJ10" s="407"/>
      <c r="EK10" s="407"/>
      <c r="EL10" s="407"/>
      <c r="EM10" s="407"/>
      <c r="EN10" s="407"/>
      <c r="EO10" s="407"/>
      <c r="EP10" s="407"/>
      <c r="EQ10" s="407"/>
      <c r="ER10" s="407"/>
      <c r="ES10" s="407"/>
      <c r="ET10" s="407"/>
      <c r="EU10" s="407"/>
      <c r="EV10" s="407"/>
      <c r="EW10" s="407"/>
      <c r="EX10" s="407"/>
      <c r="EY10" s="407"/>
      <c r="EZ10" s="407"/>
      <c r="FA10" s="407"/>
      <c r="FB10" s="407"/>
      <c r="FC10" s="407"/>
      <c r="FD10" s="407"/>
      <c r="FE10" s="407"/>
      <c r="FF10" s="407"/>
      <c r="FG10" s="407"/>
      <c r="FH10" s="407"/>
      <c r="FI10" s="407"/>
      <c r="FJ10" s="407"/>
      <c r="FK10" s="407"/>
      <c r="FL10" s="407"/>
      <c r="FM10" s="407"/>
      <c r="FN10" s="407"/>
      <c r="FO10" s="407"/>
      <c r="FP10" s="407"/>
      <c r="FQ10" s="407"/>
      <c r="FR10" s="407"/>
      <c r="FS10" s="407"/>
      <c r="FT10" s="407"/>
      <c r="FU10" s="407"/>
      <c r="FV10" s="407"/>
      <c r="FW10" s="407"/>
      <c r="FX10" s="407"/>
      <c r="FY10" s="407"/>
      <c r="FZ10" s="407"/>
      <c r="GA10" s="407"/>
      <c r="GB10" s="407"/>
      <c r="GC10" s="407"/>
      <c r="GD10" s="407"/>
      <c r="GE10" s="407"/>
      <c r="GF10" s="407"/>
      <c r="GG10" s="407"/>
      <c r="GH10" s="407"/>
      <c r="GI10" s="407"/>
      <c r="GJ10" s="407"/>
      <c r="GK10" s="407"/>
      <c r="GL10" s="407"/>
      <c r="GM10" s="407"/>
      <c r="GN10" s="407"/>
      <c r="GO10" s="407"/>
      <c r="GP10" s="407"/>
      <c r="GQ10" s="407"/>
      <c r="GR10" s="407"/>
      <c r="GS10" s="407"/>
      <c r="GT10" s="407"/>
      <c r="GU10" s="407"/>
      <c r="GV10" s="407"/>
      <c r="GW10" s="407"/>
      <c r="GX10" s="407"/>
      <c r="GY10" s="407"/>
      <c r="GZ10" s="407"/>
      <c r="HA10" s="407"/>
      <c r="HB10" s="407"/>
      <c r="HC10" s="407"/>
      <c r="HD10" s="407"/>
      <c r="HE10" s="407"/>
      <c r="HF10" s="407"/>
      <c r="HG10" s="407"/>
      <c r="HH10" s="407"/>
      <c r="HI10" s="407"/>
      <c r="HJ10" s="407"/>
      <c r="HK10" s="407"/>
      <c r="HL10" s="407"/>
      <c r="HM10" s="407"/>
      <c r="HN10" s="407"/>
      <c r="HO10" s="407"/>
      <c r="HP10" s="407"/>
      <c r="HQ10" s="407"/>
      <c r="HR10" s="407"/>
      <c r="HS10" s="407"/>
      <c r="HT10" s="407"/>
      <c r="HU10" s="407"/>
      <c r="HV10" s="407"/>
      <c r="HW10" s="407"/>
      <c r="HX10" s="407"/>
      <c r="HY10" s="407"/>
      <c r="HZ10" s="407"/>
      <c r="IA10" s="407"/>
      <c r="IB10" s="407"/>
      <c r="IC10" s="407"/>
      <c r="ID10" s="407"/>
      <c r="IE10" s="407"/>
      <c r="IF10" s="407"/>
      <c r="IG10" s="407"/>
      <c r="IH10" s="407"/>
      <c r="II10" s="407"/>
      <c r="IJ10" s="407"/>
      <c r="IK10" s="407"/>
      <c r="IL10" s="407"/>
      <c r="IM10" s="407"/>
      <c r="IN10" s="407"/>
    </row>
    <row r="11" spans="1:248" s="409" customFormat="1" ht="12.75" customHeight="1">
      <c r="A11" s="1083"/>
      <c r="B11" s="1083"/>
      <c r="C11" s="1073" t="s">
        <v>172</v>
      </c>
      <c r="D11" s="1074"/>
      <c r="E11" s="1075"/>
      <c r="F11" s="1073" t="s">
        <v>173</v>
      </c>
      <c r="G11" s="1074"/>
      <c r="H11" s="1075"/>
      <c r="I11" s="1073" t="s">
        <v>16</v>
      </c>
      <c r="J11" s="1074"/>
      <c r="K11" s="1075"/>
      <c r="L11" s="1073" t="s">
        <v>172</v>
      </c>
      <c r="M11" s="1074"/>
      <c r="N11" s="1075"/>
      <c r="O11" s="1073" t="s">
        <v>173</v>
      </c>
      <c r="P11" s="1074"/>
      <c r="Q11" s="1075"/>
      <c r="R11" s="1073" t="s">
        <v>16</v>
      </c>
      <c r="S11" s="1074"/>
      <c r="T11" s="1075"/>
      <c r="U11" s="1080"/>
      <c r="V11" s="1080"/>
      <c r="W11" s="1080"/>
      <c r="X11" s="1081"/>
      <c r="Y11" s="407"/>
      <c r="Z11" s="407"/>
      <c r="AA11" s="407"/>
      <c r="AB11" s="407"/>
      <c r="AC11" s="407"/>
      <c r="AD11" s="407"/>
      <c r="AE11" s="407"/>
      <c r="AF11" s="407"/>
      <c r="AG11" s="407"/>
      <c r="AH11" s="407"/>
      <c r="AI11" s="407"/>
      <c r="AJ11" s="407"/>
      <c r="AK11" s="407"/>
      <c r="AL11" s="407"/>
      <c r="AM11" s="407"/>
      <c r="AN11" s="407"/>
      <c r="AO11" s="407"/>
      <c r="AP11" s="407"/>
      <c r="AQ11" s="407"/>
      <c r="AR11" s="407"/>
      <c r="AS11" s="407"/>
      <c r="AT11" s="407"/>
      <c r="AU11" s="407"/>
      <c r="AV11" s="407"/>
      <c r="AW11" s="407"/>
      <c r="AX11" s="407"/>
      <c r="AY11" s="407"/>
      <c r="AZ11" s="407"/>
      <c r="BA11" s="407"/>
      <c r="BB11" s="407"/>
      <c r="BC11" s="407"/>
      <c r="BD11" s="407"/>
      <c r="BE11" s="407"/>
      <c r="BF11" s="407"/>
      <c r="BG11" s="407"/>
      <c r="BH11" s="407"/>
      <c r="BI11" s="407"/>
      <c r="BJ11" s="407"/>
      <c r="BK11" s="407"/>
      <c r="BL11" s="407"/>
      <c r="BM11" s="407"/>
      <c r="BN11" s="407"/>
      <c r="BO11" s="407"/>
      <c r="BP11" s="407"/>
      <c r="BQ11" s="407"/>
      <c r="BR11" s="407"/>
      <c r="BS11" s="407"/>
      <c r="BT11" s="407"/>
      <c r="BU11" s="407"/>
      <c r="BV11" s="407"/>
      <c r="BW11" s="407"/>
      <c r="BX11" s="407"/>
      <c r="BY11" s="407"/>
      <c r="BZ11" s="407"/>
      <c r="CA11" s="407"/>
      <c r="CB11" s="407"/>
      <c r="CC11" s="407"/>
      <c r="CD11" s="407"/>
      <c r="CE11" s="407"/>
      <c r="CF11" s="407"/>
      <c r="CG11" s="407"/>
      <c r="CH11" s="407"/>
      <c r="CI11" s="407"/>
      <c r="CJ11" s="407"/>
      <c r="CK11" s="407"/>
      <c r="CL11" s="407"/>
      <c r="CM11" s="407"/>
      <c r="CN11" s="407"/>
      <c r="CO11" s="407"/>
      <c r="CP11" s="407"/>
      <c r="CQ11" s="407"/>
      <c r="CR11" s="407"/>
      <c r="CS11" s="407"/>
      <c r="CT11" s="407"/>
      <c r="CU11" s="407"/>
      <c r="CV11" s="407"/>
      <c r="CW11" s="407"/>
      <c r="CX11" s="407"/>
      <c r="CY11" s="407"/>
      <c r="CZ11" s="407"/>
      <c r="DA11" s="407"/>
      <c r="DB11" s="407"/>
      <c r="DC11" s="407"/>
      <c r="DD11" s="407"/>
      <c r="DE11" s="407"/>
      <c r="DF11" s="407"/>
      <c r="DG11" s="407"/>
      <c r="DH11" s="407"/>
      <c r="DI11" s="407"/>
      <c r="DJ11" s="407"/>
      <c r="DK11" s="407"/>
      <c r="DL11" s="407"/>
      <c r="DM11" s="407"/>
      <c r="DN11" s="407"/>
      <c r="DO11" s="407"/>
      <c r="DP11" s="407"/>
      <c r="DQ11" s="407"/>
      <c r="DR11" s="407"/>
      <c r="DS11" s="407"/>
      <c r="DT11" s="407"/>
      <c r="DU11" s="407"/>
      <c r="DV11" s="407"/>
      <c r="DW11" s="407"/>
      <c r="DX11" s="407"/>
      <c r="DY11" s="407"/>
      <c r="DZ11" s="407"/>
      <c r="EA11" s="407"/>
      <c r="EB11" s="407"/>
      <c r="EC11" s="407"/>
      <c r="ED11" s="407"/>
      <c r="EE11" s="407"/>
      <c r="EF11" s="407"/>
      <c r="EG11" s="407"/>
      <c r="EH11" s="407"/>
      <c r="EI11" s="407"/>
      <c r="EJ11" s="407"/>
      <c r="EK11" s="407"/>
      <c r="EL11" s="407"/>
      <c r="EM11" s="407"/>
      <c r="EN11" s="407"/>
      <c r="EO11" s="407"/>
      <c r="EP11" s="407"/>
      <c r="EQ11" s="407"/>
      <c r="ER11" s="407"/>
      <c r="ES11" s="407"/>
      <c r="ET11" s="407"/>
      <c r="EU11" s="407"/>
      <c r="EV11" s="407"/>
      <c r="EW11" s="407"/>
      <c r="EX11" s="407"/>
      <c r="EY11" s="407"/>
      <c r="EZ11" s="407"/>
      <c r="FA11" s="407"/>
      <c r="FB11" s="407"/>
      <c r="FC11" s="407"/>
      <c r="FD11" s="407"/>
      <c r="FE11" s="407"/>
      <c r="FF11" s="407"/>
      <c r="FG11" s="407"/>
      <c r="FH11" s="407"/>
      <c r="FI11" s="407"/>
      <c r="FJ11" s="407"/>
      <c r="FK11" s="407"/>
      <c r="FL11" s="407"/>
      <c r="FM11" s="407"/>
      <c r="FN11" s="407"/>
      <c r="FO11" s="407"/>
      <c r="FP11" s="407"/>
      <c r="FQ11" s="407"/>
      <c r="FR11" s="407"/>
      <c r="FS11" s="407"/>
      <c r="FT11" s="407"/>
      <c r="FU11" s="407"/>
      <c r="FV11" s="407"/>
      <c r="FW11" s="407"/>
      <c r="FX11" s="407"/>
      <c r="FY11" s="407"/>
      <c r="FZ11" s="407"/>
      <c r="GA11" s="407"/>
      <c r="GB11" s="407"/>
      <c r="GC11" s="407"/>
      <c r="GD11" s="407"/>
      <c r="GE11" s="407"/>
      <c r="GF11" s="407"/>
      <c r="GG11" s="407"/>
      <c r="GH11" s="407"/>
      <c r="GI11" s="407"/>
      <c r="GJ11" s="407"/>
      <c r="GK11" s="407"/>
      <c r="GL11" s="407"/>
      <c r="GM11" s="407"/>
      <c r="GN11" s="407"/>
      <c r="GO11" s="407"/>
      <c r="GP11" s="407"/>
      <c r="GQ11" s="407"/>
      <c r="GR11" s="407"/>
      <c r="GS11" s="407"/>
      <c r="GT11" s="407"/>
      <c r="GU11" s="407"/>
      <c r="GV11" s="407"/>
      <c r="GW11" s="407"/>
      <c r="GX11" s="407"/>
      <c r="GY11" s="407"/>
      <c r="GZ11" s="407"/>
      <c r="HA11" s="407"/>
      <c r="HB11" s="407"/>
      <c r="HC11" s="407"/>
      <c r="HD11" s="407"/>
      <c r="HE11" s="407"/>
      <c r="HF11" s="407"/>
      <c r="HG11" s="407"/>
      <c r="HH11" s="407"/>
      <c r="HI11" s="407"/>
      <c r="HJ11" s="407"/>
      <c r="HK11" s="407"/>
      <c r="HL11" s="407"/>
      <c r="HM11" s="407"/>
      <c r="HN11" s="407"/>
      <c r="HO11" s="407"/>
      <c r="HP11" s="407"/>
      <c r="HQ11" s="407"/>
      <c r="HR11" s="407"/>
      <c r="HS11" s="407"/>
      <c r="HT11" s="407"/>
      <c r="HU11" s="407"/>
      <c r="HV11" s="407"/>
      <c r="HW11" s="407"/>
      <c r="HX11" s="407"/>
      <c r="HY11" s="407"/>
      <c r="HZ11" s="407"/>
      <c r="IA11" s="407"/>
      <c r="IB11" s="407"/>
      <c r="IC11" s="407"/>
      <c r="ID11" s="407"/>
      <c r="IE11" s="407"/>
      <c r="IF11" s="407"/>
      <c r="IG11" s="407"/>
      <c r="IH11" s="407"/>
      <c r="II11" s="407"/>
      <c r="IJ11" s="407"/>
      <c r="IK11" s="407"/>
      <c r="IL11" s="407"/>
      <c r="IM11" s="407"/>
      <c r="IN11" s="407"/>
    </row>
    <row r="12" spans="1:248" s="409" customFormat="1" ht="12.75">
      <c r="A12" s="1084"/>
      <c r="B12" s="1084"/>
      <c r="C12" s="410" t="s">
        <v>250</v>
      </c>
      <c r="D12" s="411" t="s">
        <v>40</v>
      </c>
      <c r="E12" s="412" t="s">
        <v>41</v>
      </c>
      <c r="F12" s="410" t="s">
        <v>250</v>
      </c>
      <c r="G12" s="411" t="s">
        <v>40</v>
      </c>
      <c r="H12" s="412" t="s">
        <v>41</v>
      </c>
      <c r="I12" s="410" t="s">
        <v>250</v>
      </c>
      <c r="J12" s="411" t="s">
        <v>40</v>
      </c>
      <c r="K12" s="412" t="s">
        <v>41</v>
      </c>
      <c r="L12" s="410" t="s">
        <v>250</v>
      </c>
      <c r="M12" s="411" t="s">
        <v>40</v>
      </c>
      <c r="N12" s="412" t="s">
        <v>41</v>
      </c>
      <c r="O12" s="410" t="s">
        <v>250</v>
      </c>
      <c r="P12" s="411" t="s">
        <v>40</v>
      </c>
      <c r="Q12" s="412" t="s">
        <v>41</v>
      </c>
      <c r="R12" s="410" t="s">
        <v>250</v>
      </c>
      <c r="S12" s="411" t="s">
        <v>40</v>
      </c>
      <c r="T12" s="412" t="s">
        <v>41</v>
      </c>
      <c r="U12" s="406" t="s">
        <v>250</v>
      </c>
      <c r="V12" s="406" t="s">
        <v>40</v>
      </c>
      <c r="W12" s="406" t="s">
        <v>41</v>
      </c>
      <c r="X12" s="1081"/>
      <c r="Y12" s="407"/>
      <c r="Z12" s="407"/>
      <c r="AA12" s="407"/>
      <c r="AB12" s="407"/>
      <c r="AC12" s="407"/>
      <c r="AD12" s="407"/>
      <c r="AE12" s="407"/>
      <c r="AF12" s="407"/>
      <c r="AG12" s="407"/>
      <c r="AH12" s="407"/>
      <c r="AI12" s="407"/>
      <c r="AJ12" s="407"/>
      <c r="AK12" s="407"/>
      <c r="AL12" s="407"/>
      <c r="AM12" s="407"/>
      <c r="AN12" s="407"/>
      <c r="AO12" s="407"/>
      <c r="AP12" s="407"/>
      <c r="AQ12" s="407"/>
      <c r="AR12" s="407"/>
      <c r="AS12" s="407"/>
      <c r="AT12" s="407"/>
      <c r="AU12" s="407"/>
      <c r="AV12" s="407"/>
      <c r="AW12" s="407"/>
      <c r="AX12" s="407"/>
      <c r="AY12" s="407"/>
      <c r="AZ12" s="407"/>
      <c r="BA12" s="407"/>
      <c r="BB12" s="407"/>
      <c r="BC12" s="407"/>
      <c r="BD12" s="407"/>
      <c r="BE12" s="407"/>
      <c r="BF12" s="407"/>
      <c r="BG12" s="407"/>
      <c r="BH12" s="407"/>
      <c r="BI12" s="407"/>
      <c r="BJ12" s="407"/>
      <c r="BK12" s="407"/>
      <c r="BL12" s="407"/>
      <c r="BM12" s="407"/>
      <c r="BN12" s="407"/>
      <c r="BO12" s="407"/>
      <c r="BP12" s="407"/>
      <c r="BQ12" s="407"/>
      <c r="BR12" s="407"/>
      <c r="BS12" s="407"/>
      <c r="BT12" s="407"/>
      <c r="BU12" s="407"/>
      <c r="BV12" s="407"/>
      <c r="BW12" s="407"/>
      <c r="BX12" s="407"/>
      <c r="BY12" s="407"/>
      <c r="BZ12" s="407"/>
      <c r="CA12" s="407"/>
      <c r="CB12" s="407"/>
      <c r="CC12" s="407"/>
      <c r="CD12" s="407"/>
      <c r="CE12" s="407"/>
      <c r="CF12" s="407"/>
      <c r="CG12" s="407"/>
      <c r="CH12" s="407"/>
      <c r="CI12" s="407"/>
      <c r="CJ12" s="407"/>
      <c r="CK12" s="407"/>
      <c r="CL12" s="407"/>
      <c r="CM12" s="407"/>
      <c r="CN12" s="407"/>
      <c r="CO12" s="407"/>
      <c r="CP12" s="407"/>
      <c r="CQ12" s="407"/>
      <c r="CR12" s="407"/>
      <c r="CS12" s="407"/>
      <c r="CT12" s="407"/>
      <c r="CU12" s="407"/>
      <c r="CV12" s="407"/>
      <c r="CW12" s="407"/>
      <c r="CX12" s="407"/>
      <c r="CY12" s="407"/>
      <c r="CZ12" s="407"/>
      <c r="DA12" s="407"/>
      <c r="DB12" s="407"/>
      <c r="DC12" s="407"/>
      <c r="DD12" s="407"/>
      <c r="DE12" s="407"/>
      <c r="DF12" s="407"/>
      <c r="DG12" s="407"/>
      <c r="DH12" s="407"/>
      <c r="DI12" s="407"/>
      <c r="DJ12" s="407"/>
      <c r="DK12" s="407"/>
      <c r="DL12" s="407"/>
      <c r="DM12" s="407"/>
      <c r="DN12" s="407"/>
      <c r="DO12" s="407"/>
      <c r="DP12" s="407"/>
      <c r="DQ12" s="407"/>
      <c r="DR12" s="407"/>
      <c r="DS12" s="407"/>
      <c r="DT12" s="407"/>
      <c r="DU12" s="407"/>
      <c r="DV12" s="407"/>
      <c r="DW12" s="407"/>
      <c r="DX12" s="407"/>
      <c r="DY12" s="407"/>
      <c r="DZ12" s="407"/>
      <c r="EA12" s="407"/>
      <c r="EB12" s="407"/>
      <c r="EC12" s="407"/>
      <c r="ED12" s="407"/>
      <c r="EE12" s="407"/>
      <c r="EF12" s="407"/>
      <c r="EG12" s="407"/>
      <c r="EH12" s="407"/>
      <c r="EI12" s="407"/>
      <c r="EJ12" s="407"/>
      <c r="EK12" s="407"/>
      <c r="EL12" s="407"/>
      <c r="EM12" s="407"/>
      <c r="EN12" s="407"/>
      <c r="EO12" s="407"/>
      <c r="EP12" s="407"/>
      <c r="EQ12" s="407"/>
      <c r="ER12" s="407"/>
      <c r="ES12" s="407"/>
      <c r="ET12" s="407"/>
      <c r="EU12" s="407"/>
      <c r="EV12" s="407"/>
      <c r="EW12" s="407"/>
      <c r="EX12" s="407"/>
      <c r="EY12" s="407"/>
      <c r="EZ12" s="407"/>
      <c r="FA12" s="407"/>
      <c r="FB12" s="407"/>
      <c r="FC12" s="407"/>
      <c r="FD12" s="407"/>
      <c r="FE12" s="407"/>
      <c r="FF12" s="407"/>
      <c r="FG12" s="407"/>
      <c r="FH12" s="407"/>
      <c r="FI12" s="407"/>
      <c r="FJ12" s="407"/>
      <c r="FK12" s="407"/>
      <c r="FL12" s="407"/>
      <c r="FM12" s="407"/>
      <c r="FN12" s="407"/>
      <c r="FO12" s="407"/>
      <c r="FP12" s="407"/>
      <c r="FQ12" s="407"/>
      <c r="FR12" s="407"/>
      <c r="FS12" s="407"/>
      <c r="FT12" s="407"/>
      <c r="FU12" s="407"/>
      <c r="FV12" s="407"/>
      <c r="FW12" s="407"/>
      <c r="FX12" s="407"/>
      <c r="FY12" s="407"/>
      <c r="FZ12" s="407"/>
      <c r="GA12" s="407"/>
      <c r="GB12" s="407"/>
      <c r="GC12" s="407"/>
      <c r="GD12" s="407"/>
      <c r="GE12" s="407"/>
      <c r="GF12" s="407"/>
      <c r="GG12" s="407"/>
      <c r="GH12" s="407"/>
      <c r="GI12" s="407"/>
      <c r="GJ12" s="407"/>
      <c r="GK12" s="407"/>
      <c r="GL12" s="407"/>
      <c r="GM12" s="407"/>
      <c r="GN12" s="407"/>
      <c r="GO12" s="407"/>
      <c r="GP12" s="407"/>
      <c r="GQ12" s="407"/>
      <c r="GR12" s="407"/>
      <c r="GS12" s="407"/>
      <c r="GT12" s="407"/>
      <c r="GU12" s="407"/>
      <c r="GV12" s="407"/>
      <c r="GW12" s="407"/>
      <c r="GX12" s="407"/>
      <c r="GY12" s="407"/>
      <c r="GZ12" s="407"/>
      <c r="HA12" s="407"/>
      <c r="HB12" s="407"/>
      <c r="HC12" s="407"/>
      <c r="HD12" s="407"/>
      <c r="HE12" s="407"/>
      <c r="HF12" s="407"/>
      <c r="HG12" s="407"/>
      <c r="HH12" s="407"/>
      <c r="HI12" s="407"/>
      <c r="HJ12" s="407"/>
      <c r="HK12" s="407"/>
      <c r="HL12" s="407"/>
      <c r="HM12" s="407"/>
      <c r="HN12" s="407"/>
      <c r="HO12" s="407"/>
      <c r="HP12" s="407"/>
      <c r="HQ12" s="407"/>
      <c r="HR12" s="407"/>
      <c r="HS12" s="407"/>
      <c r="HT12" s="407"/>
      <c r="HU12" s="407"/>
      <c r="HV12" s="407"/>
      <c r="HW12" s="407"/>
      <c r="HX12" s="407"/>
      <c r="HY12" s="407"/>
      <c r="HZ12" s="407"/>
      <c r="IA12" s="407"/>
      <c r="IB12" s="407"/>
      <c r="IC12" s="407"/>
      <c r="ID12" s="407"/>
      <c r="IE12" s="407"/>
      <c r="IF12" s="407"/>
      <c r="IG12" s="407"/>
      <c r="IH12" s="407"/>
      <c r="II12" s="407"/>
      <c r="IJ12" s="407"/>
      <c r="IK12" s="407"/>
      <c r="IL12" s="407"/>
      <c r="IM12" s="407"/>
      <c r="IN12" s="407"/>
    </row>
    <row r="13" spans="1:248" ht="12.75">
      <c r="A13" s="168">
        <v>1</v>
      </c>
      <c r="B13" s="168">
        <v>2</v>
      </c>
      <c r="C13" s="168">
        <v>3</v>
      </c>
      <c r="D13" s="168">
        <v>4</v>
      </c>
      <c r="E13" s="168">
        <v>5</v>
      </c>
      <c r="F13" s="168">
        <v>6</v>
      </c>
      <c r="G13" s="168">
        <v>7</v>
      </c>
      <c r="H13" s="168">
        <v>8</v>
      </c>
      <c r="I13" s="168">
        <v>9</v>
      </c>
      <c r="J13" s="168">
        <v>10</v>
      </c>
      <c r="K13" s="168">
        <v>11</v>
      </c>
      <c r="L13" s="168">
        <v>12</v>
      </c>
      <c r="M13" s="168">
        <v>13</v>
      </c>
      <c r="N13" s="168">
        <v>14</v>
      </c>
      <c r="O13" s="168">
        <v>15</v>
      </c>
      <c r="P13" s="168">
        <v>16</v>
      </c>
      <c r="Q13" s="168">
        <v>17</v>
      </c>
      <c r="R13" s="168">
        <v>18</v>
      </c>
      <c r="S13" s="168">
        <v>19</v>
      </c>
      <c r="T13" s="168">
        <v>20</v>
      </c>
      <c r="U13" s="168">
        <v>21</v>
      </c>
      <c r="V13" s="168">
        <v>22</v>
      </c>
      <c r="W13" s="168">
        <v>23</v>
      </c>
      <c r="X13" s="172">
        <v>24</v>
      </c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69"/>
      <c r="DP13" s="169"/>
      <c r="DQ13" s="169"/>
      <c r="DR13" s="169"/>
      <c r="DS13" s="169"/>
      <c r="DT13" s="169"/>
      <c r="DU13" s="169"/>
      <c r="DV13" s="169"/>
      <c r="DW13" s="169"/>
      <c r="DX13" s="169"/>
      <c r="DY13" s="169"/>
      <c r="DZ13" s="169"/>
      <c r="EA13" s="169"/>
      <c r="EB13" s="169"/>
      <c r="EC13" s="169"/>
      <c r="ED13" s="169"/>
      <c r="EE13" s="169"/>
      <c r="EF13" s="169"/>
      <c r="EG13" s="169"/>
      <c r="EH13" s="169"/>
      <c r="EI13" s="169"/>
      <c r="EJ13" s="169"/>
      <c r="EK13" s="169"/>
      <c r="EL13" s="169"/>
      <c r="EM13" s="169"/>
      <c r="EN13" s="169"/>
      <c r="EO13" s="169"/>
      <c r="EP13" s="169"/>
      <c r="EQ13" s="169"/>
      <c r="ER13" s="169"/>
      <c r="ES13" s="169"/>
      <c r="ET13" s="169"/>
      <c r="EU13" s="169"/>
      <c r="EV13" s="169"/>
      <c r="EW13" s="169"/>
      <c r="EX13" s="169"/>
      <c r="EY13" s="169"/>
      <c r="EZ13" s="169"/>
      <c r="FA13" s="169"/>
      <c r="FB13" s="169"/>
      <c r="FC13" s="169"/>
      <c r="FD13" s="169"/>
      <c r="FE13" s="169"/>
      <c r="FF13" s="169"/>
      <c r="FG13" s="169"/>
      <c r="FH13" s="169"/>
      <c r="FI13" s="169"/>
      <c r="FJ13" s="169"/>
      <c r="FK13" s="169"/>
      <c r="FL13" s="169"/>
      <c r="FM13" s="169"/>
      <c r="FN13" s="169"/>
      <c r="FO13" s="169"/>
      <c r="FP13" s="169"/>
      <c r="FQ13" s="169"/>
      <c r="FR13" s="169"/>
      <c r="FS13" s="169"/>
      <c r="FT13" s="169"/>
      <c r="FU13" s="169"/>
      <c r="FV13" s="169"/>
      <c r="FW13" s="169"/>
      <c r="FX13" s="169"/>
      <c r="FY13" s="169"/>
      <c r="FZ13" s="169"/>
      <c r="GA13" s="169"/>
      <c r="GB13" s="169"/>
      <c r="GC13" s="169"/>
      <c r="GD13" s="169"/>
      <c r="GE13" s="169"/>
      <c r="GF13" s="169"/>
      <c r="GG13" s="169"/>
      <c r="GH13" s="169"/>
      <c r="GI13" s="169"/>
      <c r="GJ13" s="169"/>
      <c r="GK13" s="169"/>
      <c r="GL13" s="169"/>
      <c r="GM13" s="169"/>
      <c r="GN13" s="169"/>
      <c r="GO13" s="169"/>
      <c r="GP13" s="169"/>
      <c r="GQ13" s="169"/>
      <c r="GR13" s="169"/>
      <c r="GS13" s="169"/>
      <c r="GT13" s="169"/>
      <c r="GU13" s="169"/>
      <c r="GV13" s="169"/>
      <c r="GW13" s="169"/>
      <c r="GX13" s="169"/>
      <c r="GY13" s="169"/>
      <c r="GZ13" s="169"/>
      <c r="HA13" s="169"/>
      <c r="HB13" s="169"/>
      <c r="HC13" s="169"/>
      <c r="HD13" s="169"/>
      <c r="HE13" s="169"/>
      <c r="HF13" s="169"/>
      <c r="HG13" s="169"/>
      <c r="HH13" s="169"/>
      <c r="HI13" s="169"/>
      <c r="HJ13" s="169"/>
      <c r="HK13" s="169"/>
      <c r="HL13" s="169"/>
      <c r="HM13" s="169"/>
      <c r="HN13" s="169"/>
      <c r="HO13" s="169"/>
      <c r="HP13" s="169"/>
      <c r="HQ13" s="169"/>
      <c r="HR13" s="169"/>
      <c r="HS13" s="169"/>
      <c r="HT13" s="169"/>
      <c r="HU13" s="169"/>
      <c r="HV13" s="169"/>
      <c r="HW13" s="169"/>
      <c r="HX13" s="169"/>
      <c r="HY13" s="169"/>
      <c r="HZ13" s="169"/>
      <c r="IA13" s="169"/>
      <c r="IB13" s="169"/>
      <c r="IC13" s="169"/>
      <c r="ID13" s="169"/>
      <c r="IE13" s="169"/>
      <c r="IF13" s="169"/>
      <c r="IG13" s="169"/>
      <c r="IH13" s="169"/>
      <c r="II13" s="169"/>
      <c r="IJ13" s="169"/>
      <c r="IK13" s="169"/>
      <c r="IL13" s="169"/>
      <c r="IM13" s="169"/>
      <c r="IN13" s="169"/>
    </row>
    <row r="14" spans="1:248" ht="15.75" customHeight="1">
      <c r="A14" s="1088" t="s">
        <v>242</v>
      </c>
      <c r="B14" s="1089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70"/>
      <c r="V14" s="171"/>
      <c r="W14" s="171"/>
      <c r="X14" s="172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69"/>
      <c r="DQ14" s="169"/>
      <c r="DR14" s="169"/>
      <c r="DS14" s="169"/>
      <c r="DT14" s="169"/>
      <c r="DU14" s="169"/>
      <c r="DV14" s="169"/>
      <c r="DW14" s="169"/>
      <c r="DX14" s="169"/>
      <c r="DY14" s="169"/>
      <c r="DZ14" s="169"/>
      <c r="EA14" s="169"/>
      <c r="EB14" s="169"/>
      <c r="EC14" s="169"/>
      <c r="ED14" s="169"/>
      <c r="EE14" s="169"/>
      <c r="EF14" s="169"/>
      <c r="EG14" s="169"/>
      <c r="EH14" s="169"/>
      <c r="EI14" s="169"/>
      <c r="EJ14" s="169"/>
      <c r="EK14" s="169"/>
      <c r="EL14" s="169"/>
      <c r="EM14" s="169"/>
      <c r="EN14" s="169"/>
      <c r="EO14" s="169"/>
      <c r="EP14" s="169"/>
      <c r="EQ14" s="169"/>
      <c r="ER14" s="169"/>
      <c r="ES14" s="169"/>
      <c r="ET14" s="169"/>
      <c r="EU14" s="169"/>
      <c r="EV14" s="169"/>
      <c r="EW14" s="169"/>
      <c r="EX14" s="169"/>
      <c r="EY14" s="169"/>
      <c r="EZ14" s="169"/>
      <c r="FA14" s="169"/>
      <c r="FB14" s="169"/>
      <c r="FC14" s="169"/>
      <c r="FD14" s="169"/>
      <c r="FE14" s="169"/>
      <c r="FF14" s="169"/>
      <c r="FG14" s="169"/>
      <c r="FH14" s="169"/>
      <c r="FI14" s="169"/>
      <c r="FJ14" s="169"/>
      <c r="FK14" s="169"/>
      <c r="FL14" s="169"/>
      <c r="FM14" s="169"/>
      <c r="FN14" s="169"/>
      <c r="FO14" s="169"/>
      <c r="FP14" s="169"/>
      <c r="FQ14" s="169"/>
      <c r="FR14" s="169"/>
      <c r="FS14" s="169"/>
      <c r="FT14" s="169"/>
      <c r="FU14" s="169"/>
      <c r="FV14" s="169"/>
      <c r="FW14" s="169"/>
      <c r="FX14" s="169"/>
      <c r="FY14" s="169"/>
      <c r="FZ14" s="169"/>
      <c r="GA14" s="169"/>
      <c r="GB14" s="169"/>
      <c r="GC14" s="169"/>
      <c r="GD14" s="169"/>
      <c r="GE14" s="169"/>
      <c r="GF14" s="169"/>
      <c r="GG14" s="169"/>
      <c r="GH14" s="169"/>
      <c r="GI14" s="169"/>
      <c r="GJ14" s="169"/>
      <c r="GK14" s="169"/>
      <c r="GL14" s="169"/>
      <c r="GM14" s="169"/>
      <c r="GN14" s="169"/>
      <c r="GO14" s="169"/>
      <c r="GP14" s="169"/>
      <c r="GQ14" s="169"/>
      <c r="GR14" s="169"/>
      <c r="GS14" s="169"/>
      <c r="GT14" s="169"/>
      <c r="GU14" s="169"/>
      <c r="GV14" s="169"/>
      <c r="GW14" s="169"/>
      <c r="GX14" s="169"/>
      <c r="GY14" s="169"/>
      <c r="GZ14" s="169"/>
      <c r="HA14" s="169"/>
      <c r="HB14" s="169"/>
      <c r="HC14" s="169"/>
      <c r="HD14" s="169"/>
      <c r="HE14" s="169"/>
      <c r="HF14" s="169"/>
      <c r="HG14" s="169"/>
      <c r="HH14" s="169"/>
      <c r="HI14" s="169"/>
      <c r="HJ14" s="169"/>
      <c r="HK14" s="169"/>
      <c r="HL14" s="169"/>
      <c r="HM14" s="169"/>
      <c r="HN14" s="169"/>
      <c r="HO14" s="169"/>
      <c r="HP14" s="169"/>
      <c r="HQ14" s="169"/>
      <c r="HR14" s="169"/>
      <c r="HS14" s="169"/>
      <c r="HT14" s="169"/>
      <c r="HU14" s="169"/>
      <c r="HV14" s="169"/>
      <c r="HW14" s="169"/>
      <c r="HX14" s="169"/>
      <c r="HY14" s="169"/>
      <c r="HZ14" s="169"/>
      <c r="IA14" s="169"/>
      <c r="IB14" s="169"/>
      <c r="IC14" s="169"/>
      <c r="ID14" s="169"/>
      <c r="IE14" s="169"/>
      <c r="IF14" s="169"/>
      <c r="IG14" s="169"/>
      <c r="IH14" s="169"/>
      <c r="II14" s="169"/>
      <c r="IJ14" s="169"/>
      <c r="IK14" s="169"/>
      <c r="IL14" s="169"/>
      <c r="IM14" s="169"/>
      <c r="IN14" s="169"/>
    </row>
    <row r="15" spans="1:24" ht="19.5" customHeight="1">
      <c r="A15" s="172">
        <v>1</v>
      </c>
      <c r="B15" s="569" t="s">
        <v>124</v>
      </c>
      <c r="C15" s="385">
        <v>28.984859999999998</v>
      </c>
      <c r="D15" s="385">
        <v>28.984860000000005</v>
      </c>
      <c r="E15" s="385">
        <v>86.95458</v>
      </c>
      <c r="F15" s="547">
        <v>0</v>
      </c>
      <c r="G15" s="547">
        <v>0</v>
      </c>
      <c r="H15" s="385">
        <v>0</v>
      </c>
      <c r="I15" s="385">
        <f>C15+F15</f>
        <v>28.984859999999998</v>
      </c>
      <c r="J15" s="385">
        <f aca="true" t="shared" si="0" ref="J15:K19">D15+G15</f>
        <v>28.984860000000005</v>
      </c>
      <c r="K15" s="385">
        <f t="shared" si="0"/>
        <v>86.95458</v>
      </c>
      <c r="L15" s="548">
        <v>25.977059999999994</v>
      </c>
      <c r="M15" s="548">
        <v>25.97706</v>
      </c>
      <c r="N15" s="548">
        <v>77.93118</v>
      </c>
      <c r="O15" s="385">
        <v>0</v>
      </c>
      <c r="P15" s="385">
        <v>0</v>
      </c>
      <c r="Q15" s="385">
        <v>0</v>
      </c>
      <c r="R15" s="385">
        <f aca="true" t="shared" si="1" ref="R15:T19">L15+O15</f>
        <v>25.977059999999994</v>
      </c>
      <c r="S15" s="385">
        <f t="shared" si="1"/>
        <v>25.97706</v>
      </c>
      <c r="T15" s="385">
        <f t="shared" si="1"/>
        <v>77.93118</v>
      </c>
      <c r="U15" s="385">
        <f aca="true" t="shared" si="2" ref="U15:W19">I15+R15</f>
        <v>54.96191999999999</v>
      </c>
      <c r="V15" s="385">
        <f t="shared" si="2"/>
        <v>54.961920000000006</v>
      </c>
      <c r="W15" s="385">
        <f t="shared" si="2"/>
        <v>164.88576</v>
      </c>
      <c r="X15" s="387">
        <f>U15+V15+W15</f>
        <v>274.8096</v>
      </c>
    </row>
    <row r="16" spans="1:24" ht="19.5" customHeight="1">
      <c r="A16" s="172">
        <v>2</v>
      </c>
      <c r="B16" s="497" t="s">
        <v>125</v>
      </c>
      <c r="C16" s="385">
        <v>431.873967</v>
      </c>
      <c r="D16" s="385">
        <v>431.873967</v>
      </c>
      <c r="E16" s="385">
        <v>1295.621901</v>
      </c>
      <c r="F16" s="547">
        <v>48.30804999999998</v>
      </c>
      <c r="G16" s="547">
        <v>48.30805</v>
      </c>
      <c r="H16" s="385">
        <v>144.92415</v>
      </c>
      <c r="I16" s="385">
        <f>C16+F16</f>
        <v>480.182017</v>
      </c>
      <c r="J16" s="385">
        <f t="shared" si="0"/>
        <v>480.182017</v>
      </c>
      <c r="K16" s="385">
        <f t="shared" si="0"/>
        <v>1440.546051</v>
      </c>
      <c r="L16" s="548">
        <v>386.76942600000007</v>
      </c>
      <c r="M16" s="548">
        <v>386.76942600000007</v>
      </c>
      <c r="N16" s="548">
        <v>1160.308278</v>
      </c>
      <c r="O16" s="385">
        <v>43.295085</v>
      </c>
      <c r="P16" s="385">
        <v>43.295085</v>
      </c>
      <c r="Q16" s="385">
        <v>129.885255</v>
      </c>
      <c r="R16" s="385">
        <f t="shared" si="1"/>
        <v>430.06451100000004</v>
      </c>
      <c r="S16" s="385">
        <f t="shared" si="1"/>
        <v>430.06451100000004</v>
      </c>
      <c r="T16" s="385">
        <f>N16+Q16</f>
        <v>1290.193533</v>
      </c>
      <c r="U16" s="385">
        <f t="shared" si="2"/>
        <v>910.246528</v>
      </c>
      <c r="V16" s="385">
        <f t="shared" si="2"/>
        <v>910.246528</v>
      </c>
      <c r="W16" s="385">
        <f t="shared" si="2"/>
        <v>2730.739584</v>
      </c>
      <c r="X16" s="387">
        <f aca="true" t="shared" si="3" ref="X16:X25">U16+V16+W16</f>
        <v>4551.23264</v>
      </c>
    </row>
    <row r="17" spans="1:24" ht="19.5" customHeight="1">
      <c r="A17" s="172">
        <v>3</v>
      </c>
      <c r="B17" s="497" t="s">
        <v>128</v>
      </c>
      <c r="C17" s="385">
        <v>27.921999999999997</v>
      </c>
      <c r="D17" s="385">
        <v>27.922000000000004</v>
      </c>
      <c r="E17" s="385">
        <v>83.766</v>
      </c>
      <c r="F17" s="547">
        <v>0</v>
      </c>
      <c r="G17" s="547">
        <v>0</v>
      </c>
      <c r="H17" s="385">
        <v>0</v>
      </c>
      <c r="I17" s="385">
        <f>C17+F17</f>
        <v>27.921999999999997</v>
      </c>
      <c r="J17" s="385">
        <f t="shared" si="0"/>
        <v>27.922000000000004</v>
      </c>
      <c r="K17" s="385">
        <f t="shared" si="0"/>
        <v>83.766</v>
      </c>
      <c r="L17" s="548">
        <v>25.024</v>
      </c>
      <c r="M17" s="548">
        <v>25.024</v>
      </c>
      <c r="N17" s="548">
        <v>75.072</v>
      </c>
      <c r="O17" s="385">
        <v>0</v>
      </c>
      <c r="P17" s="385">
        <v>0</v>
      </c>
      <c r="Q17" s="385">
        <v>0</v>
      </c>
      <c r="R17" s="385">
        <f t="shared" si="1"/>
        <v>25.024</v>
      </c>
      <c r="S17" s="385">
        <f t="shared" si="1"/>
        <v>25.024</v>
      </c>
      <c r="T17" s="385">
        <f t="shared" si="1"/>
        <v>75.072</v>
      </c>
      <c r="U17" s="385">
        <f t="shared" si="2"/>
        <v>52.946</v>
      </c>
      <c r="V17" s="385">
        <f t="shared" si="2"/>
        <v>52.946000000000005</v>
      </c>
      <c r="W17" s="385">
        <f t="shared" si="2"/>
        <v>158.83800000000002</v>
      </c>
      <c r="X17" s="387">
        <f t="shared" si="3"/>
        <v>264.73</v>
      </c>
    </row>
    <row r="18" spans="1:24" ht="19.5" customHeight="1">
      <c r="A18" s="172">
        <v>4</v>
      </c>
      <c r="B18" s="497" t="s">
        <v>126</v>
      </c>
      <c r="C18" s="385">
        <v>16.752172329000004</v>
      </c>
      <c r="D18" s="385">
        <v>16.752172329000004</v>
      </c>
      <c r="E18" s="385">
        <v>50.25651698700001</v>
      </c>
      <c r="F18" s="547">
        <v>0</v>
      </c>
      <c r="G18" s="547">
        <v>0</v>
      </c>
      <c r="H18" s="385">
        <v>0</v>
      </c>
      <c r="I18" s="385">
        <f>C18+F18</f>
        <v>16.752172329000004</v>
      </c>
      <c r="J18" s="385">
        <f t="shared" si="0"/>
        <v>16.752172329000004</v>
      </c>
      <c r="K18" s="385">
        <f t="shared" si="0"/>
        <v>50.25651698700001</v>
      </c>
      <c r="L18" s="548">
        <v>13.624321121999998</v>
      </c>
      <c r="M18" s="548">
        <v>13.624321122000001</v>
      </c>
      <c r="N18" s="548">
        <v>40.872963366</v>
      </c>
      <c r="O18" s="385">
        <v>0</v>
      </c>
      <c r="P18" s="385">
        <v>0</v>
      </c>
      <c r="Q18" s="385">
        <v>0</v>
      </c>
      <c r="R18" s="385">
        <f t="shared" si="1"/>
        <v>13.624321121999998</v>
      </c>
      <c r="S18" s="385">
        <f t="shared" si="1"/>
        <v>13.624321122000001</v>
      </c>
      <c r="T18" s="385">
        <f t="shared" si="1"/>
        <v>40.872963366</v>
      </c>
      <c r="U18" s="385">
        <f t="shared" si="2"/>
        <v>30.376493451</v>
      </c>
      <c r="V18" s="385">
        <f t="shared" si="2"/>
        <v>30.376493451000005</v>
      </c>
      <c r="W18" s="385">
        <f t="shared" si="2"/>
        <v>91.12948035300002</v>
      </c>
      <c r="X18" s="387">
        <f t="shared" si="3"/>
        <v>151.88246725500002</v>
      </c>
    </row>
    <row r="19" spans="1:24" ht="19.5" customHeight="1">
      <c r="A19" s="172">
        <v>5</v>
      </c>
      <c r="B19" s="569" t="s">
        <v>127</v>
      </c>
      <c r="C19" s="385">
        <v>131.66999999999996</v>
      </c>
      <c r="D19" s="385">
        <v>131.67000000000002</v>
      </c>
      <c r="E19" s="385">
        <v>395.01</v>
      </c>
      <c r="F19" s="385">
        <v>87.77999999999997</v>
      </c>
      <c r="G19" s="385">
        <v>87.78</v>
      </c>
      <c r="H19" s="385">
        <v>263.34</v>
      </c>
      <c r="I19" s="385">
        <f>C19+F19</f>
        <v>219.44999999999993</v>
      </c>
      <c r="J19" s="385">
        <f t="shared" si="0"/>
        <v>219.45000000000002</v>
      </c>
      <c r="K19" s="385">
        <f t="shared" si="0"/>
        <v>658.3499999999999</v>
      </c>
      <c r="L19" s="385">
        <v>66.834</v>
      </c>
      <c r="M19" s="385">
        <v>66.834</v>
      </c>
      <c r="N19" s="385">
        <v>200.502</v>
      </c>
      <c r="O19" s="385">
        <v>44.55599999999998</v>
      </c>
      <c r="P19" s="385">
        <v>44.556000000000004</v>
      </c>
      <c r="Q19" s="385">
        <v>133.668</v>
      </c>
      <c r="R19" s="385">
        <f>L19+O19</f>
        <v>111.38999999999999</v>
      </c>
      <c r="S19" s="385">
        <f t="shared" si="1"/>
        <v>111.39000000000001</v>
      </c>
      <c r="T19" s="385">
        <f t="shared" si="1"/>
        <v>334.17</v>
      </c>
      <c r="U19" s="385">
        <f>I19+R19</f>
        <v>330.8399999999999</v>
      </c>
      <c r="V19" s="385">
        <f t="shared" si="2"/>
        <v>330.84000000000003</v>
      </c>
      <c r="W19" s="385">
        <f t="shared" si="2"/>
        <v>992.52</v>
      </c>
      <c r="X19" s="387">
        <f t="shared" si="3"/>
        <v>1654.1999999999998</v>
      </c>
    </row>
    <row r="20" spans="1:24" s="169" customFormat="1" ht="19.5" customHeight="1">
      <c r="A20" s="1085" t="s">
        <v>534</v>
      </c>
      <c r="B20" s="1086"/>
      <c r="C20" s="386">
        <f aca="true" t="shared" si="4" ref="C20:K20">SUM(C15:C19)</f>
        <v>637.202999329</v>
      </c>
      <c r="D20" s="386">
        <f t="shared" si="4"/>
        <v>637.202999329</v>
      </c>
      <c r="E20" s="386">
        <f t="shared" si="4"/>
        <v>1911.608997987</v>
      </c>
      <c r="F20" s="386">
        <f t="shared" si="4"/>
        <v>136.08804999999995</v>
      </c>
      <c r="G20" s="386">
        <f t="shared" si="4"/>
        <v>136.08805</v>
      </c>
      <c r="H20" s="386">
        <f t="shared" si="4"/>
        <v>408.26415</v>
      </c>
      <c r="I20" s="386">
        <f t="shared" si="4"/>
        <v>773.291049329</v>
      </c>
      <c r="J20" s="386">
        <f t="shared" si="4"/>
        <v>773.2910493290001</v>
      </c>
      <c r="K20" s="386">
        <f t="shared" si="4"/>
        <v>2319.8731479870003</v>
      </c>
      <c r="L20" s="386">
        <f>SUM(L15:L19)</f>
        <v>518.228807122</v>
      </c>
      <c r="M20" s="386">
        <f aca="true" t="shared" si="5" ref="M20:W20">SUM(M15:M19)</f>
        <v>518.228807122</v>
      </c>
      <c r="N20" s="386">
        <f t="shared" si="5"/>
        <v>1554.686421366</v>
      </c>
      <c r="O20" s="386">
        <f t="shared" si="5"/>
        <v>87.85108499999998</v>
      </c>
      <c r="P20" s="386">
        <f t="shared" si="5"/>
        <v>87.85108500000001</v>
      </c>
      <c r="Q20" s="386">
        <f t="shared" si="5"/>
        <v>263.55325500000004</v>
      </c>
      <c r="R20" s="386">
        <f t="shared" si="5"/>
        <v>606.079892122</v>
      </c>
      <c r="S20" s="386">
        <f t="shared" si="5"/>
        <v>606.079892122</v>
      </c>
      <c r="T20" s="386">
        <f t="shared" si="5"/>
        <v>1818.239676366</v>
      </c>
      <c r="U20" s="386">
        <f t="shared" si="5"/>
        <v>1379.370941451</v>
      </c>
      <c r="V20" s="386">
        <f t="shared" si="5"/>
        <v>1379.370941451</v>
      </c>
      <c r="W20" s="386">
        <f t="shared" si="5"/>
        <v>4138.112824353</v>
      </c>
      <c r="X20" s="387">
        <f t="shared" si="3"/>
        <v>6896.854707255</v>
      </c>
    </row>
    <row r="21" spans="1:24" ht="16.5" customHeight="1">
      <c r="A21" s="1088" t="s">
        <v>243</v>
      </c>
      <c r="B21" s="1089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 t="s">
        <v>11</v>
      </c>
      <c r="S21" s="385"/>
      <c r="T21" s="385"/>
      <c r="U21" s="385"/>
      <c r="V21" s="385"/>
      <c r="W21" s="385"/>
      <c r="X21" s="387"/>
    </row>
    <row r="22" spans="1:24" ht="19.5" customHeight="1">
      <c r="A22" s="172">
        <v>6</v>
      </c>
      <c r="B22" s="569" t="s">
        <v>863</v>
      </c>
      <c r="C22" s="385">
        <v>18.036</v>
      </c>
      <c r="D22" s="385">
        <v>18.036</v>
      </c>
      <c r="E22" s="385">
        <v>54.108000000000004</v>
      </c>
      <c r="F22" s="385">
        <v>2.0039999999999996</v>
      </c>
      <c r="G22" s="385">
        <v>2.004</v>
      </c>
      <c r="H22" s="385">
        <v>6.012</v>
      </c>
      <c r="I22" s="385">
        <f aca="true" t="shared" si="6" ref="I22:K24">C22+F22</f>
        <v>20.04</v>
      </c>
      <c r="J22" s="385">
        <f t="shared" si="6"/>
        <v>20.040000000000003</v>
      </c>
      <c r="K22" s="385">
        <f t="shared" si="6"/>
        <v>60.120000000000005</v>
      </c>
      <c r="L22" s="385">
        <v>0</v>
      </c>
      <c r="M22" s="385">
        <v>0</v>
      </c>
      <c r="N22" s="385">
        <v>0</v>
      </c>
      <c r="O22" s="385">
        <v>0</v>
      </c>
      <c r="P22" s="385">
        <v>0</v>
      </c>
      <c r="Q22" s="385">
        <v>0</v>
      </c>
      <c r="R22" s="385">
        <f aca="true" t="shared" si="7" ref="R22:T24">L22+O22</f>
        <v>0</v>
      </c>
      <c r="S22" s="385">
        <f t="shared" si="7"/>
        <v>0</v>
      </c>
      <c r="T22" s="385">
        <f t="shared" si="7"/>
        <v>0</v>
      </c>
      <c r="U22" s="385">
        <f aca="true" t="shared" si="8" ref="U22:W24">I22+R22</f>
        <v>20.04</v>
      </c>
      <c r="V22" s="385">
        <f t="shared" si="8"/>
        <v>20.040000000000003</v>
      </c>
      <c r="W22" s="385">
        <f t="shared" si="8"/>
        <v>60.120000000000005</v>
      </c>
      <c r="X22" s="387">
        <f t="shared" si="3"/>
        <v>100.2</v>
      </c>
    </row>
    <row r="23" spans="1:24" ht="19.5" customHeight="1">
      <c r="A23" s="172">
        <v>7</v>
      </c>
      <c r="B23" s="569" t="s">
        <v>129</v>
      </c>
      <c r="C23" s="385">
        <v>28.403999999999996</v>
      </c>
      <c r="D23" s="385">
        <v>28.404000000000003</v>
      </c>
      <c r="E23" s="385">
        <v>85.212</v>
      </c>
      <c r="F23" s="385">
        <v>3.155999999999999</v>
      </c>
      <c r="G23" s="385">
        <v>3.156</v>
      </c>
      <c r="H23" s="385">
        <v>9.468</v>
      </c>
      <c r="I23" s="385">
        <f>C23+F23</f>
        <v>31.559999999999995</v>
      </c>
      <c r="J23" s="385">
        <f>D23+G23</f>
        <v>31.560000000000002</v>
      </c>
      <c r="K23" s="385">
        <f>E23+H23</f>
        <v>94.68</v>
      </c>
      <c r="L23" s="385">
        <v>0</v>
      </c>
      <c r="M23" s="385">
        <v>0</v>
      </c>
      <c r="N23" s="385">
        <v>0</v>
      </c>
      <c r="O23" s="385">
        <v>0</v>
      </c>
      <c r="P23" s="385">
        <v>0</v>
      </c>
      <c r="Q23" s="385">
        <v>0</v>
      </c>
      <c r="R23" s="385">
        <f>L23+O23</f>
        <v>0</v>
      </c>
      <c r="S23" s="385">
        <f>M23+P23</f>
        <v>0</v>
      </c>
      <c r="T23" s="385">
        <f>N23+Q23</f>
        <v>0</v>
      </c>
      <c r="U23" s="385">
        <f>I23+R23</f>
        <v>31.559999999999995</v>
      </c>
      <c r="V23" s="385">
        <f>J23+S23</f>
        <v>31.560000000000002</v>
      </c>
      <c r="W23" s="385">
        <f>K23+T23</f>
        <v>94.68</v>
      </c>
      <c r="X23" s="387">
        <f>U23+V23+W23</f>
        <v>157.8</v>
      </c>
    </row>
    <row r="24" spans="1:24" ht="30.75" customHeight="1">
      <c r="A24" s="640">
        <v>8</v>
      </c>
      <c r="B24" s="497" t="s">
        <v>1061</v>
      </c>
      <c r="C24" s="549">
        <v>171.38800000000003</v>
      </c>
      <c r="D24" s="549">
        <v>171.38800000000003</v>
      </c>
      <c r="E24" s="549">
        <v>514.164</v>
      </c>
      <c r="F24" s="549">
        <v>0</v>
      </c>
      <c r="G24" s="549">
        <v>0</v>
      </c>
      <c r="H24" s="549">
        <v>0</v>
      </c>
      <c r="I24" s="549">
        <f t="shared" si="6"/>
        <v>171.38800000000003</v>
      </c>
      <c r="J24" s="549">
        <f t="shared" si="6"/>
        <v>171.38800000000003</v>
      </c>
      <c r="K24" s="549">
        <f t="shared" si="6"/>
        <v>514.164</v>
      </c>
      <c r="L24" s="549">
        <v>102.40200000000004</v>
      </c>
      <c r="M24" s="549">
        <v>102.402</v>
      </c>
      <c r="N24" s="549">
        <v>307.20599999999996</v>
      </c>
      <c r="O24" s="549">
        <v>0</v>
      </c>
      <c r="P24" s="549">
        <v>0</v>
      </c>
      <c r="Q24" s="549">
        <v>0</v>
      </c>
      <c r="R24" s="549">
        <f t="shared" si="7"/>
        <v>102.40200000000004</v>
      </c>
      <c r="S24" s="549">
        <f t="shared" si="7"/>
        <v>102.402</v>
      </c>
      <c r="T24" s="549">
        <f t="shared" si="7"/>
        <v>307.20599999999996</v>
      </c>
      <c r="U24" s="549">
        <f t="shared" si="8"/>
        <v>273.7900000000001</v>
      </c>
      <c r="V24" s="549">
        <f t="shared" si="8"/>
        <v>273.79</v>
      </c>
      <c r="W24" s="549">
        <f t="shared" si="8"/>
        <v>821.3699999999999</v>
      </c>
      <c r="X24" s="498">
        <f>U24+V24+W24</f>
        <v>1368.95</v>
      </c>
    </row>
    <row r="25" spans="1:24" s="169" customFormat="1" ht="19.5" customHeight="1">
      <c r="A25" s="1087" t="s">
        <v>535</v>
      </c>
      <c r="B25" s="1087"/>
      <c r="C25" s="386">
        <f>SUM(C22:C24)</f>
        <v>217.82800000000003</v>
      </c>
      <c r="D25" s="386">
        <f aca="true" t="shared" si="9" ref="D25:W25">SUM(D22:D24)</f>
        <v>217.82800000000003</v>
      </c>
      <c r="E25" s="386">
        <f t="shared" si="9"/>
        <v>653.4839999999999</v>
      </c>
      <c r="F25" s="386">
        <f t="shared" si="9"/>
        <v>5.159999999999998</v>
      </c>
      <c r="G25" s="386">
        <f t="shared" si="9"/>
        <v>5.16</v>
      </c>
      <c r="H25" s="386">
        <f t="shared" si="9"/>
        <v>15.48</v>
      </c>
      <c r="I25" s="386">
        <f t="shared" si="9"/>
        <v>222.98800000000003</v>
      </c>
      <c r="J25" s="386">
        <f t="shared" si="9"/>
        <v>222.98800000000006</v>
      </c>
      <c r="K25" s="386">
        <f t="shared" si="9"/>
        <v>668.9639999999999</v>
      </c>
      <c r="L25" s="386">
        <f t="shared" si="9"/>
        <v>102.40200000000004</v>
      </c>
      <c r="M25" s="386">
        <f t="shared" si="9"/>
        <v>102.402</v>
      </c>
      <c r="N25" s="386">
        <f t="shared" si="9"/>
        <v>307.20599999999996</v>
      </c>
      <c r="O25" s="386">
        <f t="shared" si="9"/>
        <v>0</v>
      </c>
      <c r="P25" s="386">
        <f t="shared" si="9"/>
        <v>0</v>
      </c>
      <c r="Q25" s="386">
        <f t="shared" si="9"/>
        <v>0</v>
      </c>
      <c r="R25" s="386">
        <f t="shared" si="9"/>
        <v>102.40200000000004</v>
      </c>
      <c r="S25" s="386">
        <f t="shared" si="9"/>
        <v>102.402</v>
      </c>
      <c r="T25" s="386">
        <f t="shared" si="9"/>
        <v>307.20599999999996</v>
      </c>
      <c r="U25" s="386">
        <f t="shared" si="9"/>
        <v>325.3900000000001</v>
      </c>
      <c r="V25" s="386">
        <f t="shared" si="9"/>
        <v>325.39000000000004</v>
      </c>
      <c r="W25" s="386">
        <f t="shared" si="9"/>
        <v>976.1699999999998</v>
      </c>
      <c r="X25" s="387">
        <f t="shared" si="3"/>
        <v>1626.95</v>
      </c>
    </row>
    <row r="26" spans="1:24" s="169" customFormat="1" ht="19.5" customHeight="1">
      <c r="A26" s="1085" t="s">
        <v>748</v>
      </c>
      <c r="B26" s="1086"/>
      <c r="C26" s="386">
        <f aca="true" t="shared" si="10" ref="C26:X26">C20+C25</f>
        <v>855.030999329</v>
      </c>
      <c r="D26" s="386">
        <f t="shared" si="10"/>
        <v>855.030999329</v>
      </c>
      <c r="E26" s="386">
        <f t="shared" si="10"/>
        <v>2565.0929979869998</v>
      </c>
      <c r="F26" s="386">
        <f t="shared" si="10"/>
        <v>141.24804999999995</v>
      </c>
      <c r="G26" s="386">
        <f t="shared" si="10"/>
        <v>141.24805</v>
      </c>
      <c r="H26" s="386">
        <f t="shared" si="10"/>
        <v>423.74415</v>
      </c>
      <c r="I26" s="386">
        <f t="shared" si="10"/>
        <v>996.279049329</v>
      </c>
      <c r="J26" s="386">
        <f t="shared" si="10"/>
        <v>996.2790493290001</v>
      </c>
      <c r="K26" s="386">
        <f t="shared" si="10"/>
        <v>2988.837147987</v>
      </c>
      <c r="L26" s="386">
        <f t="shared" si="10"/>
        <v>620.6308071220001</v>
      </c>
      <c r="M26" s="386">
        <f t="shared" si="10"/>
        <v>620.6308071220001</v>
      </c>
      <c r="N26" s="386">
        <f t="shared" si="10"/>
        <v>1861.892421366</v>
      </c>
      <c r="O26" s="386">
        <f t="shared" si="10"/>
        <v>87.85108499999998</v>
      </c>
      <c r="P26" s="386">
        <f t="shared" si="10"/>
        <v>87.85108500000001</v>
      </c>
      <c r="Q26" s="386">
        <f t="shared" si="10"/>
        <v>263.55325500000004</v>
      </c>
      <c r="R26" s="386">
        <f t="shared" si="10"/>
        <v>708.4818921220001</v>
      </c>
      <c r="S26" s="386">
        <f t="shared" si="10"/>
        <v>708.4818921220001</v>
      </c>
      <c r="T26" s="386">
        <f t="shared" si="10"/>
        <v>2125.445676366</v>
      </c>
      <c r="U26" s="386">
        <f t="shared" si="10"/>
        <v>1704.760941451</v>
      </c>
      <c r="V26" s="386">
        <f t="shared" si="10"/>
        <v>1704.760941451</v>
      </c>
      <c r="W26" s="386">
        <f t="shared" si="10"/>
        <v>5114.282824353</v>
      </c>
      <c r="X26" s="386">
        <f t="shared" si="10"/>
        <v>8523.804707255</v>
      </c>
    </row>
    <row r="27" spans="1:24" s="169" customFormat="1" ht="16.5" customHeight="1">
      <c r="A27" s="495"/>
      <c r="B27" s="495" t="s">
        <v>11</v>
      </c>
      <c r="C27" s="496"/>
      <c r="D27" s="496"/>
      <c r="E27" s="496"/>
      <c r="F27" s="496"/>
      <c r="G27" s="496"/>
      <c r="H27" s="496"/>
      <c r="I27" s="496"/>
      <c r="J27" s="496"/>
      <c r="K27" s="496"/>
      <c r="L27" s="496"/>
      <c r="M27" s="496"/>
      <c r="N27" s="496"/>
      <c r="O27" s="496"/>
      <c r="P27" s="496" t="s">
        <v>11</v>
      </c>
      <c r="Q27" s="496"/>
      <c r="R27" s="496"/>
      <c r="S27" s="496"/>
      <c r="T27" s="496"/>
      <c r="U27" s="496"/>
      <c r="V27" s="496"/>
      <c r="W27" s="496"/>
      <c r="X27" s="496"/>
    </row>
    <row r="28" spans="9:24" ht="12.75">
      <c r="I28" s="164" t="s">
        <v>11</v>
      </c>
      <c r="P28" s="164" t="s">
        <v>11</v>
      </c>
      <c r="Q28" s="164" t="s">
        <v>11</v>
      </c>
      <c r="X28" s="164" t="s">
        <v>11</v>
      </c>
    </row>
    <row r="29" spans="2:24" ht="12.75">
      <c r="B29" s="393"/>
      <c r="P29" s="164" t="s">
        <v>11</v>
      </c>
      <c r="X29" s="164" t="s">
        <v>11</v>
      </c>
    </row>
    <row r="30" spans="1:21" ht="12.75">
      <c r="A30" s="1092"/>
      <c r="B30" s="1092"/>
      <c r="C30" s="1092"/>
      <c r="D30" s="1092"/>
      <c r="E30" s="1092"/>
      <c r="F30" s="1092"/>
      <c r="G30" s="1092"/>
      <c r="H30" s="1092"/>
      <c r="I30" s="1092"/>
      <c r="J30" s="173"/>
      <c r="K30" s="173"/>
      <c r="L30" s="173" t="s">
        <v>11</v>
      </c>
      <c r="M30" s="173" t="s">
        <v>11</v>
      </c>
      <c r="N30" s="173"/>
      <c r="O30" s="1092"/>
      <c r="P30" s="1092"/>
      <c r="Q30" s="1092"/>
      <c r="R30" s="1092"/>
      <c r="S30" s="1092"/>
      <c r="T30" s="1092"/>
      <c r="U30" s="1092"/>
    </row>
    <row r="31" spans="1:21" ht="15.75" customHeight="1">
      <c r="A31" s="174" t="s">
        <v>12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 t="s">
        <v>11</v>
      </c>
      <c r="L31" s="174"/>
      <c r="M31" s="174"/>
      <c r="N31" s="174"/>
      <c r="Q31" s="644"/>
      <c r="R31" s="644"/>
      <c r="S31" s="644"/>
      <c r="T31" s="644"/>
      <c r="U31" s="644"/>
    </row>
    <row r="32" spans="2:24" ht="15.75" customHeight="1"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R32" s="644"/>
      <c r="S32" s="1093" t="s">
        <v>1062</v>
      </c>
      <c r="T32" s="1093"/>
      <c r="U32" s="1093"/>
      <c r="V32" s="1093"/>
      <c r="W32" s="1093"/>
      <c r="X32" s="1093"/>
    </row>
    <row r="33" spans="2:24" ht="15.75" customHeight="1"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R33" s="644"/>
      <c r="S33" s="1093" t="s">
        <v>485</v>
      </c>
      <c r="T33" s="1093"/>
      <c r="U33" s="1093"/>
      <c r="V33" s="1093"/>
      <c r="W33" s="1093"/>
      <c r="X33" s="1093"/>
    </row>
    <row r="34" spans="18:23" ht="12.75">
      <c r="R34" s="1091" t="s">
        <v>80</v>
      </c>
      <c r="S34" s="1091"/>
      <c r="T34" s="1091"/>
      <c r="U34" s="1091"/>
      <c r="V34" s="1091"/>
      <c r="W34" s="1091"/>
    </row>
    <row r="39" spans="1:18" ht="12.75">
      <c r="A39" s="1071" t="s">
        <v>207</v>
      </c>
      <c r="B39" s="1071"/>
      <c r="C39" s="1071"/>
      <c r="D39" s="1071"/>
      <c r="E39" s="237"/>
      <c r="F39" s="237"/>
      <c r="G39" s="237" t="s">
        <v>11</v>
      </c>
      <c r="H39" s="237"/>
      <c r="I39" s="237"/>
      <c r="J39" s="237"/>
      <c r="K39" s="237"/>
      <c r="L39" s="242"/>
      <c r="M39" s="248"/>
      <c r="N39" s="248"/>
      <c r="O39" s="248"/>
      <c r="P39" s="248"/>
      <c r="Q39" s="248"/>
      <c r="R39" s="248"/>
    </row>
    <row r="40" spans="1:18" ht="12.75">
      <c r="A40" s="243" t="s">
        <v>108</v>
      </c>
      <c r="B40" s="244" t="s">
        <v>178</v>
      </c>
      <c r="C40" s="244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</row>
    <row r="41" spans="1:18" ht="12.75">
      <c r="A41" s="243" t="s">
        <v>134</v>
      </c>
      <c r="B41" s="1071" t="s">
        <v>735</v>
      </c>
      <c r="C41" s="1071"/>
      <c r="D41" s="1071"/>
      <c r="E41" s="1071"/>
      <c r="F41" s="526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</row>
    <row r="42" spans="1:18" ht="12.75">
      <c r="A42" s="244" t="s">
        <v>135</v>
      </c>
      <c r="B42" s="1071" t="s">
        <v>736</v>
      </c>
      <c r="C42" s="1071"/>
      <c r="D42" s="1071"/>
      <c r="E42" s="1071"/>
      <c r="F42" s="526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</row>
    <row r="43" spans="1:18" ht="12.75">
      <c r="A43" s="244" t="s">
        <v>153</v>
      </c>
      <c r="B43" s="1071" t="s">
        <v>749</v>
      </c>
      <c r="C43" s="1071"/>
      <c r="D43" s="1071"/>
      <c r="E43" s="1071"/>
      <c r="F43" s="1071"/>
      <c r="G43" s="1071"/>
      <c r="H43" s="1071"/>
      <c r="I43" s="1071"/>
      <c r="J43" s="1071"/>
      <c r="K43" s="1071"/>
      <c r="L43" s="1071"/>
      <c r="M43" s="1071"/>
      <c r="N43" s="1071"/>
      <c r="O43" s="1071"/>
      <c r="P43" s="1071"/>
      <c r="Q43" s="1071"/>
      <c r="R43" s="1071"/>
    </row>
    <row r="44" spans="1:18" ht="12.75">
      <c r="A44" s="244" t="s">
        <v>112</v>
      </c>
      <c r="B44" s="244" t="s">
        <v>224</v>
      </c>
      <c r="C44" s="244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</row>
    <row r="45" spans="1:18" ht="12.75">
      <c r="A45" s="244" t="s">
        <v>113</v>
      </c>
      <c r="B45" s="244" t="s">
        <v>226</v>
      </c>
      <c r="C45" s="244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</row>
    <row r="46" spans="1:18" ht="12.75">
      <c r="A46" s="244"/>
      <c r="B46" s="244" t="s">
        <v>227</v>
      </c>
      <c r="C46" s="244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</row>
    <row r="47" spans="1:18" ht="12.75">
      <c r="A47" s="244"/>
      <c r="B47" s="244"/>
      <c r="C47" s="244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</row>
    <row r="48" spans="1:18" ht="12.75">
      <c r="A48" s="244" t="s">
        <v>506</v>
      </c>
      <c r="B48" s="244" t="s">
        <v>510</v>
      </c>
      <c r="C48" s="244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</row>
    <row r="49" spans="1:18" ht="12.75">
      <c r="A49" s="244"/>
      <c r="B49" s="244" t="s">
        <v>680</v>
      </c>
      <c r="C49" s="244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</row>
    <row r="50" spans="1:18" ht="12.75">
      <c r="A50" s="244"/>
      <c r="B50" s="244" t="s">
        <v>555</v>
      </c>
      <c r="C50" s="244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</row>
  </sheetData>
  <sheetProtection/>
  <mergeCells count="32">
    <mergeCell ref="V9:W9"/>
    <mergeCell ref="R34:W34"/>
    <mergeCell ref="A30:I30"/>
    <mergeCell ref="O30:U30"/>
    <mergeCell ref="S32:X32"/>
    <mergeCell ref="S33:X33"/>
    <mergeCell ref="A14:B14"/>
    <mergeCell ref="A26:B26"/>
    <mergeCell ref="B42:E42"/>
    <mergeCell ref="A21:B21"/>
    <mergeCell ref="L10:T10"/>
    <mergeCell ref="O11:Q11"/>
    <mergeCell ref="C10:K10"/>
    <mergeCell ref="A2:X2"/>
    <mergeCell ref="U10:W11"/>
    <mergeCell ref="X10:X12"/>
    <mergeCell ref="B43:R43"/>
    <mergeCell ref="R11:T11"/>
    <mergeCell ref="A10:A12"/>
    <mergeCell ref="A20:B20"/>
    <mergeCell ref="A25:B25"/>
    <mergeCell ref="B10:B12"/>
    <mergeCell ref="A4:X4"/>
    <mergeCell ref="A6:X6"/>
    <mergeCell ref="A39:D39"/>
    <mergeCell ref="B41:E41"/>
    <mergeCell ref="O1:U1"/>
    <mergeCell ref="A8:B8"/>
    <mergeCell ref="C11:E11"/>
    <mergeCell ref="F11:H11"/>
    <mergeCell ref="I11:K11"/>
    <mergeCell ref="L11:N11"/>
  </mergeCells>
  <printOptions horizontalCentered="1"/>
  <pageMargins left="0.54" right="0.21" top="1.3" bottom="0" header="0.78" footer="0.31496062992125984"/>
  <pageSetup fitToHeight="1" fitToWidth="1" horizontalDpi="600" verticalDpi="600" orientation="landscape" paperSize="9" scale="64" r:id="rId1"/>
  <colBreaks count="1" manualBreakCount="1">
    <brk id="2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V43"/>
  <sheetViews>
    <sheetView view="pageBreakPreview" zoomScaleSheetLayoutView="100" zoomScalePageLayoutView="0" workbookViewId="0" topLeftCell="A10">
      <selection activeCell="I31" sqref="I31:K31"/>
    </sheetView>
  </sheetViews>
  <sheetFormatPr defaultColWidth="9.140625" defaultRowHeight="12.75"/>
  <cols>
    <col min="1" max="1" width="6.140625" style="0" customWidth="1"/>
    <col min="2" max="2" width="17.7109375" style="0" customWidth="1"/>
    <col min="3" max="3" width="13.57421875" style="0" customWidth="1"/>
    <col min="4" max="4" width="14.57421875" style="0" customWidth="1"/>
    <col min="5" max="12" width="13.57421875" style="0" customWidth="1"/>
  </cols>
  <sheetData>
    <row r="1" spans="1:256" ht="18">
      <c r="A1" s="754" t="s">
        <v>0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  <c r="L1" s="609" t="s">
        <v>1002</v>
      </c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  <c r="IR1" s="89"/>
      <c r="IS1" s="89"/>
      <c r="IT1" s="89"/>
      <c r="IU1" s="89"/>
      <c r="IV1" s="89"/>
    </row>
    <row r="2" spans="1:256" ht="21">
      <c r="A2" s="755" t="s">
        <v>878</v>
      </c>
      <c r="B2" s="755"/>
      <c r="C2" s="755"/>
      <c r="D2" s="755"/>
      <c r="E2" s="755"/>
      <c r="F2" s="755"/>
      <c r="G2" s="755"/>
      <c r="H2" s="755"/>
      <c r="I2" s="755"/>
      <c r="J2" s="755"/>
      <c r="K2" s="755"/>
      <c r="L2" s="755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  <c r="IU2" s="89"/>
      <c r="IV2" s="89"/>
    </row>
    <row r="3" spans="1:256" ht="15">
      <c r="A3" s="610"/>
      <c r="B3" s="610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  <c r="IT3" s="89"/>
      <c r="IU3" s="89"/>
      <c r="IV3" s="89"/>
    </row>
    <row r="4" spans="1:256" ht="18">
      <c r="A4" s="756" t="s">
        <v>1003</v>
      </c>
      <c r="B4" s="756"/>
      <c r="C4" s="756"/>
      <c r="D4" s="756"/>
      <c r="E4" s="756"/>
      <c r="F4" s="756"/>
      <c r="G4" s="756"/>
      <c r="H4" s="756"/>
      <c r="I4" s="756"/>
      <c r="J4" s="756"/>
      <c r="K4" s="756"/>
      <c r="L4" s="756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  <c r="IT4" s="89"/>
      <c r="IU4" s="89"/>
      <c r="IV4" s="89"/>
    </row>
    <row r="5" spans="1:256" ht="15">
      <c r="A5" s="611" t="s">
        <v>482</v>
      </c>
      <c r="B5" s="611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5">
      <c r="A6" s="611"/>
      <c r="B6" s="611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5">
      <c r="A7" s="757" t="s">
        <v>1004</v>
      </c>
      <c r="B7" s="757"/>
      <c r="C7" s="757"/>
      <c r="D7" s="97">
        <v>6347.85</v>
      </c>
      <c r="E7" s="89"/>
      <c r="F7" s="89"/>
      <c r="G7" s="89"/>
      <c r="H7" s="89"/>
      <c r="I7" s="89"/>
      <c r="J7" s="89"/>
      <c r="K7" s="758" t="s">
        <v>1005</v>
      </c>
      <c r="L7" s="758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5">
      <c r="A8" s="757" t="s">
        <v>1006</v>
      </c>
      <c r="B8" s="757"/>
      <c r="C8" s="757"/>
      <c r="D8" s="97">
        <v>5541.13</v>
      </c>
      <c r="E8" s="89"/>
      <c r="F8" s="89"/>
      <c r="G8" s="89"/>
      <c r="H8" s="89"/>
      <c r="I8" s="89"/>
      <c r="J8" s="89"/>
      <c r="K8" s="612"/>
      <c r="L8" s="612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5">
      <c r="A9" s="611"/>
      <c r="B9" s="611"/>
      <c r="C9" s="89"/>
      <c r="D9" s="89"/>
      <c r="E9" s="89"/>
      <c r="F9" s="89"/>
      <c r="G9" s="89"/>
      <c r="H9" s="89"/>
      <c r="I9" s="89"/>
      <c r="J9" s="750" t="s">
        <v>1007</v>
      </c>
      <c r="K9" s="750"/>
      <c r="L9" s="750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2.75">
      <c r="A10" s="751" t="s">
        <v>2</v>
      </c>
      <c r="B10" s="752" t="s">
        <v>71</v>
      </c>
      <c r="C10" s="753" t="s">
        <v>1008</v>
      </c>
      <c r="D10" s="753"/>
      <c r="E10" s="753"/>
      <c r="F10" s="753"/>
      <c r="G10" s="753" t="s">
        <v>1009</v>
      </c>
      <c r="H10" s="753"/>
      <c r="I10" s="753"/>
      <c r="J10" s="753"/>
      <c r="K10" s="753" t="s">
        <v>1010</v>
      </c>
      <c r="L10" s="753" t="s">
        <v>1011</v>
      </c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95.25" customHeight="1">
      <c r="A11" s="751"/>
      <c r="B11" s="752"/>
      <c r="C11" s="613" t="s">
        <v>1012</v>
      </c>
      <c r="D11" s="614" t="s">
        <v>1013</v>
      </c>
      <c r="E11" s="614" t="s">
        <v>1014</v>
      </c>
      <c r="F11" s="613" t="s">
        <v>1015</v>
      </c>
      <c r="G11" s="613" t="s">
        <v>1012</v>
      </c>
      <c r="H11" s="614" t="s">
        <v>1013</v>
      </c>
      <c r="I11" s="614" t="s">
        <v>1014</v>
      </c>
      <c r="J11" s="613" t="s">
        <v>1015</v>
      </c>
      <c r="K11" s="753"/>
      <c r="L11" s="753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09"/>
      <c r="AB11" s="609"/>
      <c r="AC11" s="609"/>
      <c r="AD11" s="609"/>
      <c r="AE11" s="609"/>
      <c r="AF11" s="609"/>
      <c r="AG11" s="609"/>
      <c r="AH11" s="609"/>
      <c r="AI11" s="609"/>
      <c r="AJ11" s="609"/>
      <c r="AK11" s="609"/>
      <c r="AL11" s="609"/>
      <c r="AM11" s="609"/>
      <c r="AN11" s="609"/>
      <c r="AO11" s="609"/>
      <c r="AP11" s="609"/>
      <c r="AQ11" s="609"/>
      <c r="AR11" s="609"/>
      <c r="AS11" s="609"/>
      <c r="AT11" s="609"/>
      <c r="AU11" s="609"/>
      <c r="AV11" s="609"/>
      <c r="AW11" s="609"/>
      <c r="AX11" s="609"/>
      <c r="AY11" s="609"/>
      <c r="AZ11" s="609"/>
      <c r="BA11" s="609"/>
      <c r="BB11" s="609"/>
      <c r="BC11" s="609"/>
      <c r="BD11" s="609"/>
      <c r="BE11" s="609"/>
      <c r="BF11" s="609"/>
      <c r="BG11" s="609"/>
      <c r="BH11" s="609"/>
      <c r="BI11" s="609"/>
      <c r="BJ11" s="609"/>
      <c r="BK11" s="609"/>
      <c r="BL11" s="609"/>
      <c r="BM11" s="609"/>
      <c r="BN11" s="609"/>
      <c r="BO11" s="609"/>
      <c r="BP11" s="609"/>
      <c r="BQ11" s="609"/>
      <c r="BR11" s="609"/>
      <c r="BS11" s="609"/>
      <c r="BT11" s="609"/>
      <c r="BU11" s="609"/>
      <c r="BV11" s="609"/>
      <c r="BW11" s="609"/>
      <c r="BX11" s="609"/>
      <c r="BY11" s="609"/>
      <c r="BZ11" s="609"/>
      <c r="CA11" s="609"/>
      <c r="CB11" s="609"/>
      <c r="CC11" s="609"/>
      <c r="CD11" s="609"/>
      <c r="CE11" s="609"/>
      <c r="CF11" s="609"/>
      <c r="CG11" s="609"/>
      <c r="CH11" s="609"/>
      <c r="CI11" s="609"/>
      <c r="CJ11" s="609"/>
      <c r="CK11" s="609"/>
      <c r="CL11" s="609"/>
      <c r="CM11" s="609"/>
      <c r="CN11" s="609"/>
      <c r="CO11" s="609"/>
      <c r="CP11" s="609"/>
      <c r="CQ11" s="609"/>
      <c r="CR11" s="609"/>
      <c r="CS11" s="609"/>
      <c r="CT11" s="609"/>
      <c r="CU11" s="609"/>
      <c r="CV11" s="609"/>
      <c r="CW11" s="609"/>
      <c r="CX11" s="609"/>
      <c r="CY11" s="609"/>
      <c r="CZ11" s="609"/>
      <c r="DA11" s="609"/>
      <c r="DB11" s="609"/>
      <c r="DC11" s="609"/>
      <c r="DD11" s="609"/>
      <c r="DE11" s="609"/>
      <c r="DF11" s="609"/>
      <c r="DG11" s="609"/>
      <c r="DH11" s="609"/>
      <c r="DI11" s="609"/>
      <c r="DJ11" s="609"/>
      <c r="DK11" s="609"/>
      <c r="DL11" s="609"/>
      <c r="DM11" s="609"/>
      <c r="DN11" s="609"/>
      <c r="DO11" s="609"/>
      <c r="DP11" s="609"/>
      <c r="DQ11" s="609"/>
      <c r="DR11" s="609"/>
      <c r="DS11" s="609"/>
      <c r="DT11" s="609"/>
      <c r="DU11" s="609"/>
      <c r="DV11" s="609"/>
      <c r="DW11" s="609"/>
      <c r="DX11" s="609"/>
      <c r="DY11" s="609"/>
      <c r="DZ11" s="609"/>
      <c r="EA11" s="609"/>
      <c r="EB11" s="609"/>
      <c r="EC11" s="609"/>
      <c r="ED11" s="609"/>
      <c r="EE11" s="609"/>
      <c r="EF11" s="609"/>
      <c r="EG11" s="609"/>
      <c r="EH11" s="609"/>
      <c r="EI11" s="609"/>
      <c r="EJ11" s="609"/>
      <c r="EK11" s="609"/>
      <c r="EL11" s="609"/>
      <c r="EM11" s="609"/>
      <c r="EN11" s="609"/>
      <c r="EO11" s="609"/>
      <c r="EP11" s="609"/>
      <c r="EQ11" s="609"/>
      <c r="ER11" s="609"/>
      <c r="ES11" s="609"/>
      <c r="ET11" s="609"/>
      <c r="EU11" s="609"/>
      <c r="EV11" s="609"/>
      <c r="EW11" s="609"/>
      <c r="EX11" s="609"/>
      <c r="EY11" s="609"/>
      <c r="EZ11" s="609"/>
      <c r="FA11" s="609"/>
      <c r="FB11" s="609"/>
      <c r="FC11" s="609"/>
      <c r="FD11" s="609"/>
      <c r="FE11" s="609"/>
      <c r="FF11" s="609"/>
      <c r="FG11" s="609"/>
      <c r="FH11" s="609"/>
      <c r="FI11" s="609"/>
      <c r="FJ11" s="609"/>
      <c r="FK11" s="609"/>
      <c r="FL11" s="609"/>
      <c r="FM11" s="609"/>
      <c r="FN11" s="609"/>
      <c r="FO11" s="609"/>
      <c r="FP11" s="609"/>
      <c r="FQ11" s="609"/>
      <c r="FR11" s="609"/>
      <c r="FS11" s="609"/>
      <c r="FT11" s="609"/>
      <c r="FU11" s="609"/>
      <c r="FV11" s="609"/>
      <c r="FW11" s="609"/>
      <c r="FX11" s="609"/>
      <c r="FY11" s="609"/>
      <c r="FZ11" s="609"/>
      <c r="GA11" s="609"/>
      <c r="GB11" s="609"/>
      <c r="GC11" s="609"/>
      <c r="GD11" s="609"/>
      <c r="GE11" s="609"/>
      <c r="GF11" s="609"/>
      <c r="GG11" s="609"/>
      <c r="GH11" s="609"/>
      <c r="GI11" s="609"/>
      <c r="GJ11" s="609"/>
      <c r="GK11" s="609"/>
      <c r="GL11" s="609"/>
      <c r="GM11" s="609"/>
      <c r="GN11" s="609"/>
      <c r="GO11" s="609"/>
      <c r="GP11" s="609"/>
      <c r="GQ11" s="609"/>
      <c r="GR11" s="609"/>
      <c r="GS11" s="609"/>
      <c r="GT11" s="609"/>
      <c r="GU11" s="609"/>
      <c r="GV11" s="609"/>
      <c r="GW11" s="609"/>
      <c r="GX11" s="609"/>
      <c r="GY11" s="609"/>
      <c r="GZ11" s="609"/>
      <c r="HA11" s="609"/>
      <c r="HB11" s="609"/>
      <c r="HC11" s="609"/>
      <c r="HD11" s="609"/>
      <c r="HE11" s="609"/>
      <c r="HF11" s="609"/>
      <c r="HG11" s="609"/>
      <c r="HH11" s="609"/>
      <c r="HI11" s="609"/>
      <c r="HJ11" s="609"/>
      <c r="HK11" s="609"/>
      <c r="HL11" s="609"/>
      <c r="HM11" s="609"/>
      <c r="HN11" s="609"/>
      <c r="HO11" s="609"/>
      <c r="HP11" s="609"/>
      <c r="HQ11" s="609"/>
      <c r="HR11" s="609"/>
      <c r="HS11" s="609"/>
      <c r="HT11" s="609"/>
      <c r="HU11" s="609"/>
      <c r="HV11" s="609"/>
      <c r="HW11" s="609"/>
      <c r="HX11" s="609"/>
      <c r="HY11" s="609"/>
      <c r="HZ11" s="609"/>
      <c r="IA11" s="609"/>
      <c r="IB11" s="609"/>
      <c r="IC11" s="609"/>
      <c r="ID11" s="609"/>
      <c r="IE11" s="609"/>
      <c r="IF11" s="609"/>
      <c r="IG11" s="609"/>
      <c r="IH11" s="609"/>
      <c r="II11" s="609"/>
      <c r="IJ11" s="609"/>
      <c r="IK11" s="609"/>
      <c r="IL11" s="609"/>
      <c r="IM11" s="609"/>
      <c r="IN11" s="609"/>
      <c r="IO11" s="609"/>
      <c r="IP11" s="609"/>
      <c r="IQ11" s="609"/>
      <c r="IR11" s="609"/>
      <c r="IS11" s="609"/>
      <c r="IT11" s="609"/>
      <c r="IU11" s="609"/>
      <c r="IV11" s="609"/>
    </row>
    <row r="12" spans="1:256" ht="15">
      <c r="A12" s="615">
        <v>1</v>
      </c>
      <c r="B12" s="616">
        <v>2</v>
      </c>
      <c r="C12" s="617">
        <v>3</v>
      </c>
      <c r="D12" s="616">
        <v>4</v>
      </c>
      <c r="E12" s="616">
        <v>5</v>
      </c>
      <c r="F12" s="617">
        <v>6</v>
      </c>
      <c r="G12" s="616">
        <v>7</v>
      </c>
      <c r="H12" s="616">
        <v>8</v>
      </c>
      <c r="I12" s="617">
        <v>9</v>
      </c>
      <c r="J12" s="616">
        <v>10</v>
      </c>
      <c r="K12" s="616">
        <v>11</v>
      </c>
      <c r="L12" s="617">
        <v>12</v>
      </c>
      <c r="M12" s="609"/>
      <c r="N12" s="609"/>
      <c r="O12" s="609"/>
      <c r="P12" s="609"/>
      <c r="Q12" s="609"/>
      <c r="R12" s="609"/>
      <c r="S12" s="609"/>
      <c r="T12" s="609"/>
      <c r="U12" s="609"/>
      <c r="V12" s="609"/>
      <c r="W12" s="609"/>
      <c r="X12" s="609"/>
      <c r="Y12" s="609"/>
      <c r="Z12" s="609"/>
      <c r="AA12" s="609"/>
      <c r="AB12" s="609"/>
      <c r="AC12" s="609"/>
      <c r="AD12" s="609"/>
      <c r="AE12" s="609"/>
      <c r="AF12" s="609"/>
      <c r="AG12" s="609"/>
      <c r="AH12" s="609"/>
      <c r="AI12" s="609"/>
      <c r="AJ12" s="609"/>
      <c r="AK12" s="609"/>
      <c r="AL12" s="609"/>
      <c r="AM12" s="609"/>
      <c r="AN12" s="609"/>
      <c r="AO12" s="609"/>
      <c r="AP12" s="609"/>
      <c r="AQ12" s="609"/>
      <c r="AR12" s="609"/>
      <c r="AS12" s="609"/>
      <c r="AT12" s="609"/>
      <c r="AU12" s="609"/>
      <c r="AV12" s="609"/>
      <c r="AW12" s="609"/>
      <c r="AX12" s="609"/>
      <c r="AY12" s="609"/>
      <c r="AZ12" s="609"/>
      <c r="BA12" s="609"/>
      <c r="BB12" s="609"/>
      <c r="BC12" s="609"/>
      <c r="BD12" s="609"/>
      <c r="BE12" s="609"/>
      <c r="BF12" s="609"/>
      <c r="BG12" s="609"/>
      <c r="BH12" s="609"/>
      <c r="BI12" s="609"/>
      <c r="BJ12" s="609"/>
      <c r="BK12" s="609"/>
      <c r="BL12" s="609"/>
      <c r="BM12" s="609"/>
      <c r="BN12" s="609"/>
      <c r="BO12" s="609"/>
      <c r="BP12" s="609"/>
      <c r="BQ12" s="609"/>
      <c r="BR12" s="609"/>
      <c r="BS12" s="609"/>
      <c r="BT12" s="609"/>
      <c r="BU12" s="609"/>
      <c r="BV12" s="609"/>
      <c r="BW12" s="609"/>
      <c r="BX12" s="609"/>
      <c r="BY12" s="609"/>
      <c r="BZ12" s="609"/>
      <c r="CA12" s="609"/>
      <c r="CB12" s="609"/>
      <c r="CC12" s="609"/>
      <c r="CD12" s="609"/>
      <c r="CE12" s="609"/>
      <c r="CF12" s="609"/>
      <c r="CG12" s="609"/>
      <c r="CH12" s="609"/>
      <c r="CI12" s="609"/>
      <c r="CJ12" s="609"/>
      <c r="CK12" s="609"/>
      <c r="CL12" s="609"/>
      <c r="CM12" s="609"/>
      <c r="CN12" s="609"/>
      <c r="CO12" s="609"/>
      <c r="CP12" s="609"/>
      <c r="CQ12" s="609"/>
      <c r="CR12" s="609"/>
      <c r="CS12" s="609"/>
      <c r="CT12" s="609"/>
      <c r="CU12" s="609"/>
      <c r="CV12" s="609"/>
      <c r="CW12" s="609"/>
      <c r="CX12" s="609"/>
      <c r="CY12" s="609"/>
      <c r="CZ12" s="609"/>
      <c r="DA12" s="609"/>
      <c r="DB12" s="609"/>
      <c r="DC12" s="609"/>
      <c r="DD12" s="609"/>
      <c r="DE12" s="609"/>
      <c r="DF12" s="609"/>
      <c r="DG12" s="609"/>
      <c r="DH12" s="609"/>
      <c r="DI12" s="609"/>
      <c r="DJ12" s="609"/>
      <c r="DK12" s="609"/>
      <c r="DL12" s="609"/>
      <c r="DM12" s="609"/>
      <c r="DN12" s="609"/>
      <c r="DO12" s="609"/>
      <c r="DP12" s="609"/>
      <c r="DQ12" s="609"/>
      <c r="DR12" s="609"/>
      <c r="DS12" s="609"/>
      <c r="DT12" s="609"/>
      <c r="DU12" s="609"/>
      <c r="DV12" s="609"/>
      <c r="DW12" s="609"/>
      <c r="DX12" s="609"/>
      <c r="DY12" s="609"/>
      <c r="DZ12" s="609"/>
      <c r="EA12" s="609"/>
      <c r="EB12" s="609"/>
      <c r="EC12" s="609"/>
      <c r="ED12" s="609"/>
      <c r="EE12" s="609"/>
      <c r="EF12" s="609"/>
      <c r="EG12" s="609"/>
      <c r="EH12" s="609"/>
      <c r="EI12" s="609"/>
      <c r="EJ12" s="609"/>
      <c r="EK12" s="609"/>
      <c r="EL12" s="609"/>
      <c r="EM12" s="609"/>
      <c r="EN12" s="609"/>
      <c r="EO12" s="609"/>
      <c r="EP12" s="609"/>
      <c r="EQ12" s="609"/>
      <c r="ER12" s="609"/>
      <c r="ES12" s="609"/>
      <c r="ET12" s="609"/>
      <c r="EU12" s="609"/>
      <c r="EV12" s="609"/>
      <c r="EW12" s="609"/>
      <c r="EX12" s="609"/>
      <c r="EY12" s="609"/>
      <c r="EZ12" s="609"/>
      <c r="FA12" s="609"/>
      <c r="FB12" s="609"/>
      <c r="FC12" s="609"/>
      <c r="FD12" s="609"/>
      <c r="FE12" s="609"/>
      <c r="FF12" s="609"/>
      <c r="FG12" s="609"/>
      <c r="FH12" s="609"/>
      <c r="FI12" s="609"/>
      <c r="FJ12" s="609"/>
      <c r="FK12" s="609"/>
      <c r="FL12" s="609"/>
      <c r="FM12" s="609"/>
      <c r="FN12" s="609"/>
      <c r="FO12" s="609"/>
      <c r="FP12" s="609"/>
      <c r="FQ12" s="609"/>
      <c r="FR12" s="609"/>
      <c r="FS12" s="609"/>
      <c r="FT12" s="609"/>
      <c r="FU12" s="609"/>
      <c r="FV12" s="609"/>
      <c r="FW12" s="609"/>
      <c r="FX12" s="609"/>
      <c r="FY12" s="609"/>
      <c r="FZ12" s="609"/>
      <c r="GA12" s="609"/>
      <c r="GB12" s="609"/>
      <c r="GC12" s="609"/>
      <c r="GD12" s="609"/>
      <c r="GE12" s="609"/>
      <c r="GF12" s="609"/>
      <c r="GG12" s="609"/>
      <c r="GH12" s="609"/>
      <c r="GI12" s="609"/>
      <c r="GJ12" s="609"/>
      <c r="GK12" s="609"/>
      <c r="GL12" s="609"/>
      <c r="GM12" s="609"/>
      <c r="GN12" s="609"/>
      <c r="GO12" s="609"/>
      <c r="GP12" s="609"/>
      <c r="GQ12" s="609"/>
      <c r="GR12" s="609"/>
      <c r="GS12" s="609"/>
      <c r="GT12" s="609"/>
      <c r="GU12" s="609"/>
      <c r="GV12" s="609"/>
      <c r="GW12" s="609"/>
      <c r="GX12" s="609"/>
      <c r="GY12" s="609"/>
      <c r="GZ12" s="609"/>
      <c r="HA12" s="609"/>
      <c r="HB12" s="609"/>
      <c r="HC12" s="609"/>
      <c r="HD12" s="609"/>
      <c r="HE12" s="609"/>
      <c r="HF12" s="609"/>
      <c r="HG12" s="609"/>
      <c r="HH12" s="609"/>
      <c r="HI12" s="609"/>
      <c r="HJ12" s="609"/>
      <c r="HK12" s="609"/>
      <c r="HL12" s="609"/>
      <c r="HM12" s="609"/>
      <c r="HN12" s="609"/>
      <c r="HO12" s="609"/>
      <c r="HP12" s="609"/>
      <c r="HQ12" s="609"/>
      <c r="HR12" s="609"/>
      <c r="HS12" s="609"/>
      <c r="HT12" s="609"/>
      <c r="HU12" s="609"/>
      <c r="HV12" s="609"/>
      <c r="HW12" s="609"/>
      <c r="HX12" s="609"/>
      <c r="HY12" s="609"/>
      <c r="HZ12" s="609"/>
      <c r="IA12" s="609"/>
      <c r="IB12" s="609"/>
      <c r="IC12" s="609"/>
      <c r="ID12" s="609"/>
      <c r="IE12" s="609"/>
      <c r="IF12" s="609"/>
      <c r="IG12" s="609"/>
      <c r="IH12" s="609"/>
      <c r="II12" s="609"/>
      <c r="IJ12" s="609"/>
      <c r="IK12" s="609"/>
      <c r="IL12" s="609"/>
      <c r="IM12" s="609"/>
      <c r="IN12" s="609"/>
      <c r="IO12" s="609"/>
      <c r="IP12" s="609"/>
      <c r="IQ12" s="609"/>
      <c r="IR12" s="609"/>
      <c r="IS12" s="609"/>
      <c r="IT12" s="609"/>
      <c r="IU12" s="609"/>
      <c r="IV12" s="609"/>
    </row>
    <row r="13" spans="1:256" ht="12.75">
      <c r="A13" s="618">
        <v>1</v>
      </c>
      <c r="B13" s="619" t="s">
        <v>1016</v>
      </c>
      <c r="C13" s="619">
        <v>9896400</v>
      </c>
      <c r="D13" s="619">
        <v>0</v>
      </c>
      <c r="E13" s="619">
        <v>0</v>
      </c>
      <c r="F13" s="619">
        <f>C13</f>
        <v>9896400</v>
      </c>
      <c r="G13" s="619">
        <v>19313057</v>
      </c>
      <c r="H13" s="619">
        <v>0</v>
      </c>
      <c r="I13" s="619">
        <v>0</v>
      </c>
      <c r="J13" s="619">
        <f>G13</f>
        <v>19313057</v>
      </c>
      <c r="K13" s="619">
        <f>F13+J13</f>
        <v>29209457</v>
      </c>
      <c r="L13" s="61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2.75">
      <c r="A14" s="618">
        <v>2</v>
      </c>
      <c r="B14" s="97" t="s">
        <v>1017</v>
      </c>
      <c r="C14" s="619">
        <v>0</v>
      </c>
      <c r="D14" s="619">
        <v>0</v>
      </c>
      <c r="E14" s="619">
        <v>0</v>
      </c>
      <c r="F14" s="619">
        <f aca="true" t="shared" si="0" ref="F14:F21">C14</f>
        <v>0</v>
      </c>
      <c r="G14" s="619">
        <v>14491046</v>
      </c>
      <c r="H14" s="619">
        <v>0</v>
      </c>
      <c r="I14" s="619">
        <v>0</v>
      </c>
      <c r="J14" s="619">
        <f aca="true" t="shared" si="1" ref="J14:J21">G14</f>
        <v>14491046</v>
      </c>
      <c r="K14" s="619">
        <f aca="true" t="shared" si="2" ref="K14:K21">F14+J14</f>
        <v>14491046</v>
      </c>
      <c r="L14" s="97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2.75">
      <c r="A15" s="618">
        <v>3</v>
      </c>
      <c r="B15" s="97" t="s">
        <v>1018</v>
      </c>
      <c r="C15" s="619">
        <v>9896400</v>
      </c>
      <c r="D15" s="619">
        <v>0</v>
      </c>
      <c r="E15" s="619">
        <v>0</v>
      </c>
      <c r="F15" s="619">
        <f t="shared" si="0"/>
        <v>9896400</v>
      </c>
      <c r="G15" s="619">
        <v>45624930</v>
      </c>
      <c r="H15" s="619">
        <v>0</v>
      </c>
      <c r="I15" s="619">
        <v>0</v>
      </c>
      <c r="J15" s="619">
        <f t="shared" si="1"/>
        <v>45624930</v>
      </c>
      <c r="K15" s="619">
        <f t="shared" si="2"/>
        <v>55521330</v>
      </c>
      <c r="L15" s="97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  <c r="IT15" s="89"/>
      <c r="IU15" s="89"/>
      <c r="IV15" s="89"/>
    </row>
    <row r="16" spans="1:256" ht="12.75">
      <c r="A16" s="618">
        <v>4</v>
      </c>
      <c r="B16" s="97" t="s">
        <v>1019</v>
      </c>
      <c r="C16" s="619">
        <v>9906300</v>
      </c>
      <c r="D16" s="619">
        <v>0</v>
      </c>
      <c r="E16" s="619">
        <v>0</v>
      </c>
      <c r="F16" s="619">
        <f t="shared" si="0"/>
        <v>9906300</v>
      </c>
      <c r="G16" s="619">
        <v>34011345</v>
      </c>
      <c r="H16" s="619">
        <v>0</v>
      </c>
      <c r="I16" s="619">
        <v>0</v>
      </c>
      <c r="J16" s="619">
        <f t="shared" si="1"/>
        <v>34011345</v>
      </c>
      <c r="K16" s="619">
        <f t="shared" si="2"/>
        <v>43917645</v>
      </c>
      <c r="L16" s="97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2.75">
      <c r="A17" s="618">
        <v>5</v>
      </c>
      <c r="B17" s="97" t="s">
        <v>1020</v>
      </c>
      <c r="C17" s="619">
        <v>9906300</v>
      </c>
      <c r="D17" s="619">
        <v>0</v>
      </c>
      <c r="E17" s="619">
        <v>0</v>
      </c>
      <c r="F17" s="619">
        <f t="shared" si="0"/>
        <v>9906300</v>
      </c>
      <c r="G17" s="619">
        <v>34916691</v>
      </c>
      <c r="H17" s="619">
        <v>0</v>
      </c>
      <c r="I17" s="619">
        <v>0</v>
      </c>
      <c r="J17" s="619">
        <f t="shared" si="1"/>
        <v>34916691</v>
      </c>
      <c r="K17" s="619">
        <f t="shared" si="2"/>
        <v>44822991</v>
      </c>
      <c r="L17" s="97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  <c r="IV17" s="89"/>
    </row>
    <row r="18" spans="1:256" ht="12.75">
      <c r="A18" s="618">
        <v>6</v>
      </c>
      <c r="B18" s="97" t="s">
        <v>1021</v>
      </c>
      <c r="C18" s="619">
        <v>9906300</v>
      </c>
      <c r="D18" s="619">
        <v>0</v>
      </c>
      <c r="E18" s="619">
        <v>0</v>
      </c>
      <c r="F18" s="619">
        <f t="shared" si="0"/>
        <v>9906300</v>
      </c>
      <c r="G18" s="619">
        <v>45286628</v>
      </c>
      <c r="H18" s="619">
        <v>0</v>
      </c>
      <c r="I18" s="619">
        <v>0</v>
      </c>
      <c r="J18" s="619">
        <f t="shared" si="1"/>
        <v>45286628</v>
      </c>
      <c r="K18" s="619">
        <f t="shared" si="2"/>
        <v>55192928</v>
      </c>
      <c r="L18" s="97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2.75">
      <c r="A19" s="618">
        <v>7</v>
      </c>
      <c r="B19" s="97" t="s">
        <v>1022</v>
      </c>
      <c r="C19" s="619">
        <v>0</v>
      </c>
      <c r="D19" s="619">
        <v>0</v>
      </c>
      <c r="E19" s="619">
        <v>0</v>
      </c>
      <c r="F19" s="619">
        <f t="shared" si="0"/>
        <v>0</v>
      </c>
      <c r="G19" s="619">
        <v>18736751</v>
      </c>
      <c r="H19" s="619">
        <v>0</v>
      </c>
      <c r="I19" s="619">
        <v>0</v>
      </c>
      <c r="J19" s="619">
        <f t="shared" si="1"/>
        <v>18736751</v>
      </c>
      <c r="K19" s="619">
        <f t="shared" si="2"/>
        <v>18736751</v>
      </c>
      <c r="L19" s="97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R19" s="89"/>
      <c r="IS19" s="89"/>
      <c r="IT19" s="89"/>
      <c r="IU19" s="89"/>
      <c r="IV19" s="89"/>
    </row>
    <row r="20" spans="1:256" ht="12.75">
      <c r="A20" s="618">
        <v>8</v>
      </c>
      <c r="B20" s="97" t="s">
        <v>1023</v>
      </c>
      <c r="C20" s="619">
        <v>9909900</v>
      </c>
      <c r="D20" s="619">
        <v>0</v>
      </c>
      <c r="E20" s="619">
        <v>0</v>
      </c>
      <c r="F20" s="619">
        <f t="shared" si="0"/>
        <v>9909900</v>
      </c>
      <c r="G20" s="619">
        <v>37306949</v>
      </c>
      <c r="H20" s="619">
        <v>0</v>
      </c>
      <c r="I20" s="619">
        <v>0</v>
      </c>
      <c r="J20" s="619">
        <f t="shared" si="1"/>
        <v>37306949</v>
      </c>
      <c r="K20" s="619">
        <f t="shared" si="2"/>
        <v>47216849</v>
      </c>
      <c r="L20" s="97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R20" s="89"/>
      <c r="IS20" s="89"/>
      <c r="IT20" s="89"/>
      <c r="IU20" s="89"/>
      <c r="IV20" s="89"/>
    </row>
    <row r="21" spans="1:256" ht="12.75">
      <c r="A21" s="618">
        <v>9</v>
      </c>
      <c r="B21" s="97" t="s">
        <v>1024</v>
      </c>
      <c r="C21" s="619">
        <v>9909900</v>
      </c>
      <c r="D21" s="619">
        <v>0</v>
      </c>
      <c r="E21" s="619">
        <v>0</v>
      </c>
      <c r="F21" s="619">
        <f t="shared" si="0"/>
        <v>9909900</v>
      </c>
      <c r="G21" s="619">
        <v>46320897</v>
      </c>
      <c r="H21" s="619">
        <v>0</v>
      </c>
      <c r="I21" s="619">
        <v>0</v>
      </c>
      <c r="J21" s="619">
        <f t="shared" si="1"/>
        <v>46320897</v>
      </c>
      <c r="K21" s="619">
        <f t="shared" si="2"/>
        <v>56230797</v>
      </c>
      <c r="L21" s="97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  <c r="IR21" s="89"/>
      <c r="IS21" s="89"/>
      <c r="IT21" s="89"/>
      <c r="IU21" s="89"/>
      <c r="IV21" s="89"/>
    </row>
    <row r="22" spans="1:256" ht="12.75">
      <c r="A22" s="93" t="s">
        <v>16</v>
      </c>
      <c r="B22" s="97"/>
      <c r="C22" s="633">
        <f>SUM(C13:C21)</f>
        <v>69331500</v>
      </c>
      <c r="D22" s="633">
        <f aca="true" t="shared" si="3" ref="D22:K22">SUM(D13:D21)</f>
        <v>0</v>
      </c>
      <c r="E22" s="633">
        <f t="shared" si="3"/>
        <v>0</v>
      </c>
      <c r="F22" s="633">
        <f t="shared" si="3"/>
        <v>69331500</v>
      </c>
      <c r="G22" s="633">
        <f t="shared" si="3"/>
        <v>296008294</v>
      </c>
      <c r="H22" s="633">
        <f t="shared" si="3"/>
        <v>0</v>
      </c>
      <c r="I22" s="633">
        <f t="shared" si="3"/>
        <v>0</v>
      </c>
      <c r="J22" s="633">
        <f t="shared" si="3"/>
        <v>296008294</v>
      </c>
      <c r="K22" s="633">
        <f t="shared" si="3"/>
        <v>365339794</v>
      </c>
      <c r="L22" s="97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  <c r="IR22" s="89"/>
      <c r="IS22" s="89"/>
      <c r="IT22" s="89"/>
      <c r="IU22" s="89"/>
      <c r="IV22" s="89"/>
    </row>
    <row r="23" spans="1:256" ht="12.7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  <c r="IR23" s="89"/>
      <c r="IS23" s="89"/>
      <c r="IT23" s="89"/>
      <c r="IU23" s="89"/>
      <c r="IV23" s="89"/>
    </row>
    <row r="24" spans="1:256" ht="15">
      <c r="A24" s="620" t="s">
        <v>1025</v>
      </c>
      <c r="B24" s="621"/>
      <c r="C24" s="621"/>
      <c r="D24" s="621"/>
      <c r="E24" s="621"/>
      <c r="F24" s="621"/>
      <c r="G24" s="621"/>
      <c r="H24" s="621"/>
      <c r="I24" s="621"/>
      <c r="J24" s="621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  <c r="IR24" s="89"/>
      <c r="IS24" s="89"/>
      <c r="IT24" s="89"/>
      <c r="IU24" s="89"/>
      <c r="IV24" s="89"/>
    </row>
    <row r="25" spans="1:256" ht="12.75">
      <c r="A25" s="747" t="s">
        <v>1026</v>
      </c>
      <c r="B25" s="747"/>
      <c r="C25" s="747"/>
      <c r="D25" s="747"/>
      <c r="E25" s="747"/>
      <c r="F25" s="747"/>
      <c r="G25" s="747"/>
      <c r="H25" s="747"/>
      <c r="I25" s="747"/>
      <c r="J25" s="747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  <c r="IR25" s="89"/>
      <c r="IS25" s="89"/>
      <c r="IT25" s="89"/>
      <c r="IU25" s="89"/>
      <c r="IV25" s="89"/>
    </row>
    <row r="26" spans="1:256" ht="12.75">
      <c r="A26" s="747" t="s">
        <v>1027</v>
      </c>
      <c r="B26" s="747"/>
      <c r="C26" s="747"/>
      <c r="D26" s="747"/>
      <c r="E26" s="310"/>
      <c r="F26" s="310"/>
      <c r="G26" s="310"/>
      <c r="H26" s="310"/>
      <c r="I26" s="310"/>
      <c r="J26" s="310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89"/>
      <c r="IQ26" s="89"/>
      <c r="IR26" s="89"/>
      <c r="IS26" s="89"/>
      <c r="IT26" s="89"/>
      <c r="IU26" s="89"/>
      <c r="IV26" s="89"/>
    </row>
    <row r="27" spans="1:256" ht="12.75">
      <c r="A27" s="747" t="s">
        <v>1028</v>
      </c>
      <c r="B27" s="747"/>
      <c r="C27" s="747"/>
      <c r="D27" s="747"/>
      <c r="E27" s="747"/>
      <c r="F27" s="747"/>
      <c r="G27" s="747"/>
      <c r="H27" s="747"/>
      <c r="I27" s="747"/>
      <c r="J27" s="747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89"/>
      <c r="IQ27" s="89"/>
      <c r="IR27" s="89"/>
      <c r="IS27" s="89"/>
      <c r="IT27" s="89"/>
      <c r="IU27" s="89"/>
      <c r="IV27" s="89"/>
    </row>
    <row r="28" spans="1:256" ht="12.75">
      <c r="A28" s="748"/>
      <c r="B28" s="749"/>
      <c r="C28" s="749"/>
      <c r="D28" s="749"/>
      <c r="E28" s="749"/>
      <c r="F28" s="749"/>
      <c r="G28" s="749"/>
      <c r="H28" s="749"/>
      <c r="I28" s="747"/>
      <c r="J28" s="747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89"/>
      <c r="IQ28" s="89"/>
      <c r="IR28" s="89"/>
      <c r="IS28" s="89"/>
      <c r="IT28" s="89"/>
      <c r="IU28" s="89"/>
      <c r="IV28" s="89"/>
    </row>
    <row r="29" spans="1:256" ht="12.75">
      <c r="A29" s="622"/>
      <c r="B29" s="623"/>
      <c r="C29" s="623"/>
      <c r="D29" s="623"/>
      <c r="E29" s="623"/>
      <c r="F29" s="623"/>
      <c r="G29" s="623"/>
      <c r="H29" s="623"/>
      <c r="I29" s="622"/>
      <c r="J29" s="622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89"/>
      <c r="IQ29" s="89"/>
      <c r="IR29" s="89"/>
      <c r="IS29" s="89"/>
      <c r="IT29" s="89"/>
      <c r="IU29" s="89"/>
      <c r="IV29" s="89"/>
    </row>
    <row r="30" spans="1:256" ht="12.75">
      <c r="A30" s="624"/>
      <c r="B30" s="624"/>
      <c r="C30" s="624"/>
      <c r="D30" s="624"/>
      <c r="E30" s="624"/>
      <c r="F30" s="89"/>
      <c r="G30" s="89"/>
      <c r="H30" s="89"/>
      <c r="I30" s="744" t="s">
        <v>1062</v>
      </c>
      <c r="J30" s="744"/>
      <c r="K30" s="744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89"/>
      <c r="IQ30" s="89"/>
      <c r="IR30" s="89"/>
      <c r="IS30" s="89"/>
      <c r="IT30" s="89"/>
      <c r="IU30" s="89"/>
      <c r="IV30" s="89"/>
    </row>
    <row r="31" spans="1:256" ht="12.75">
      <c r="A31" s="624"/>
      <c r="B31" s="624"/>
      <c r="C31" s="624"/>
      <c r="D31" s="624"/>
      <c r="E31" s="624"/>
      <c r="F31" s="89"/>
      <c r="G31" s="89"/>
      <c r="H31" s="89"/>
      <c r="I31" s="745" t="s">
        <v>484</v>
      </c>
      <c r="J31" s="745"/>
      <c r="K31" s="745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89"/>
      <c r="IQ31" s="89"/>
      <c r="IR31" s="89"/>
      <c r="IS31" s="89"/>
      <c r="IT31" s="89"/>
      <c r="IU31" s="89"/>
      <c r="IV31" s="89"/>
    </row>
    <row r="32" spans="1:256" ht="12.75">
      <c r="A32" s="624" t="s">
        <v>12</v>
      </c>
      <c r="B32" s="89"/>
      <c r="C32" s="624"/>
      <c r="D32" s="624"/>
      <c r="E32" s="624"/>
      <c r="F32" s="89"/>
      <c r="G32" s="89"/>
      <c r="H32" s="89"/>
      <c r="I32" s="746" t="s">
        <v>80</v>
      </c>
      <c r="J32" s="746"/>
      <c r="K32" s="625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89"/>
      <c r="IQ32" s="89"/>
      <c r="IR32" s="89"/>
      <c r="IS32" s="89"/>
      <c r="IT32" s="89"/>
      <c r="IU32" s="89"/>
      <c r="IV32" s="89"/>
    </row>
    <row r="33" spans="1:256" ht="12.75">
      <c r="A33" s="624"/>
      <c r="B33" s="624"/>
      <c r="C33" s="624"/>
      <c r="D33" s="624"/>
      <c r="E33" s="624"/>
      <c r="F33" s="624"/>
      <c r="G33" s="624"/>
      <c r="H33" s="624"/>
      <c r="I33" s="624"/>
      <c r="J33" s="624"/>
      <c r="K33" s="624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  <c r="IP33" s="89"/>
      <c r="IQ33" s="89"/>
      <c r="IR33" s="89"/>
      <c r="IS33" s="89"/>
      <c r="IT33" s="89"/>
      <c r="IU33" s="89"/>
      <c r="IV33" s="89"/>
    </row>
    <row r="34" spans="1:256" ht="12.7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89"/>
      <c r="IQ34" s="89"/>
      <c r="IR34" s="89"/>
      <c r="IS34" s="89"/>
      <c r="IT34" s="89"/>
      <c r="IU34" s="89"/>
      <c r="IV34" s="89"/>
    </row>
    <row r="35" spans="1:256" ht="12.7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89"/>
      <c r="IQ35" s="89"/>
      <c r="IR35" s="89"/>
      <c r="IS35" s="89"/>
      <c r="IT35" s="89"/>
      <c r="IU35" s="89"/>
      <c r="IV35" s="89"/>
    </row>
    <row r="36" spans="1:256" ht="12.7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  <c r="IO36" s="89"/>
      <c r="IP36" s="89"/>
      <c r="IQ36" s="89"/>
      <c r="IR36" s="89"/>
      <c r="IS36" s="89"/>
      <c r="IT36" s="89"/>
      <c r="IU36" s="89"/>
      <c r="IV36" s="89"/>
    </row>
    <row r="37" spans="1:256" ht="12.75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  <c r="IL37" s="89"/>
      <c r="IM37" s="89"/>
      <c r="IN37" s="89"/>
      <c r="IO37" s="89"/>
      <c r="IP37" s="89"/>
      <c r="IQ37" s="89"/>
      <c r="IR37" s="89"/>
      <c r="IS37" s="89"/>
      <c r="IT37" s="89"/>
      <c r="IU37" s="89"/>
      <c r="IV37" s="89"/>
    </row>
    <row r="38" spans="1:256" ht="12.7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  <c r="IO38" s="89"/>
      <c r="IP38" s="89"/>
      <c r="IQ38" s="89"/>
      <c r="IR38" s="89"/>
      <c r="IS38" s="89"/>
      <c r="IT38" s="89"/>
      <c r="IU38" s="89"/>
      <c r="IV38" s="89"/>
    </row>
    <row r="39" spans="1:256" ht="12.75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  <c r="IM39" s="89"/>
      <c r="IN39" s="89"/>
      <c r="IO39" s="89"/>
      <c r="IP39" s="89"/>
      <c r="IQ39" s="89"/>
      <c r="IR39" s="89"/>
      <c r="IS39" s="89"/>
      <c r="IT39" s="89"/>
      <c r="IU39" s="89"/>
      <c r="IV39" s="89"/>
    </row>
    <row r="40" spans="1:256" ht="12.75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89"/>
      <c r="II40" s="89"/>
      <c r="IJ40" s="89"/>
      <c r="IK40" s="89"/>
      <c r="IL40" s="89"/>
      <c r="IM40" s="89"/>
      <c r="IN40" s="89"/>
      <c r="IO40" s="89"/>
      <c r="IP40" s="89"/>
      <c r="IQ40" s="89"/>
      <c r="IR40" s="89"/>
      <c r="IS40" s="89"/>
      <c r="IT40" s="89"/>
      <c r="IU40" s="89"/>
      <c r="IV40" s="89"/>
    </row>
    <row r="41" spans="1:256" ht="12.75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89"/>
      <c r="IF41" s="89"/>
      <c r="IG41" s="89"/>
      <c r="IH41" s="89"/>
      <c r="II41" s="89"/>
      <c r="IJ41" s="89"/>
      <c r="IK41" s="89"/>
      <c r="IL41" s="89"/>
      <c r="IM41" s="89"/>
      <c r="IN41" s="89"/>
      <c r="IO41" s="89"/>
      <c r="IP41" s="89"/>
      <c r="IQ41" s="89"/>
      <c r="IR41" s="89"/>
      <c r="IS41" s="89"/>
      <c r="IT41" s="89"/>
      <c r="IU41" s="89"/>
      <c r="IV41" s="89"/>
    </row>
    <row r="42" spans="1:256" ht="12.75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  <c r="IL42" s="89"/>
      <c r="IM42" s="89"/>
      <c r="IN42" s="89"/>
      <c r="IO42" s="89"/>
      <c r="IP42" s="89"/>
      <c r="IQ42" s="89"/>
      <c r="IR42" s="89"/>
      <c r="IS42" s="89"/>
      <c r="IT42" s="89"/>
      <c r="IU42" s="89"/>
      <c r="IV42" s="89"/>
    </row>
    <row r="43" spans="1:256" ht="12.75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  <c r="HX43" s="89"/>
      <c r="HY43" s="89"/>
      <c r="HZ43" s="89"/>
      <c r="IA43" s="89"/>
      <c r="IB43" s="89"/>
      <c r="IC43" s="89"/>
      <c r="ID43" s="89"/>
      <c r="IE43" s="89"/>
      <c r="IF43" s="89"/>
      <c r="IG43" s="89"/>
      <c r="IH43" s="89"/>
      <c r="II43" s="89"/>
      <c r="IJ43" s="89"/>
      <c r="IK43" s="89"/>
      <c r="IL43" s="89"/>
      <c r="IM43" s="89"/>
      <c r="IN43" s="89"/>
      <c r="IO43" s="89"/>
      <c r="IP43" s="89"/>
      <c r="IQ43" s="89"/>
      <c r="IR43" s="89"/>
      <c r="IS43" s="89"/>
      <c r="IT43" s="89"/>
      <c r="IU43" s="89"/>
      <c r="IV43" s="89"/>
    </row>
  </sheetData>
  <sheetProtection/>
  <mergeCells count="23">
    <mergeCell ref="A1:K1"/>
    <mergeCell ref="A2:L2"/>
    <mergeCell ref="A4:L4"/>
    <mergeCell ref="A7:C7"/>
    <mergeCell ref="K7:L7"/>
    <mergeCell ref="A8:C8"/>
    <mergeCell ref="J9:L9"/>
    <mergeCell ref="A10:A11"/>
    <mergeCell ref="B10:B11"/>
    <mergeCell ref="C10:F10"/>
    <mergeCell ref="G10:J10"/>
    <mergeCell ref="K10:K11"/>
    <mergeCell ref="L10:L11"/>
    <mergeCell ref="I30:K30"/>
    <mergeCell ref="I31:K31"/>
    <mergeCell ref="I32:J32"/>
    <mergeCell ref="A25:J25"/>
    <mergeCell ref="A26:D26"/>
    <mergeCell ref="A27:D27"/>
    <mergeCell ref="E27:H27"/>
    <mergeCell ref="I27:J27"/>
    <mergeCell ref="A28:H28"/>
    <mergeCell ref="I28:J28"/>
  </mergeCells>
  <printOptions/>
  <pageMargins left="0.28" right="0.25" top="0.75" bottom="0.75" header="0.3" footer="0.3"/>
  <pageSetup horizontalDpi="600" verticalDpi="600" orientation="landscape" paperSize="9" scale="90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A7">
      <selection activeCell="D16" sqref="D16:J18"/>
    </sheetView>
  </sheetViews>
  <sheetFormatPr defaultColWidth="9.140625" defaultRowHeight="12.75"/>
  <cols>
    <col min="1" max="1" width="6.421875" style="0" customWidth="1"/>
    <col min="2" max="2" width="12.28125" style="0" customWidth="1"/>
    <col min="3" max="3" width="11.00390625" style="0" customWidth="1"/>
    <col min="4" max="4" width="10.421875" style="0" customWidth="1"/>
    <col min="5" max="8" width="14.421875" style="0" customWidth="1"/>
    <col min="9" max="9" width="14.00390625" style="0" customWidth="1"/>
    <col min="10" max="10" width="12.140625" style="0" customWidth="1"/>
    <col min="11" max="12" width="11.140625" style="0" customWidth="1"/>
  </cols>
  <sheetData>
    <row r="2" spans="5:11" ht="12.75">
      <c r="E2" s="676"/>
      <c r="F2" s="676"/>
      <c r="G2" s="676"/>
      <c r="K2" s="518" t="s">
        <v>778</v>
      </c>
    </row>
    <row r="3" spans="1:10" ht="15">
      <c r="A3" s="772" t="s">
        <v>0</v>
      </c>
      <c r="B3" s="772"/>
      <c r="C3" s="772"/>
      <c r="D3" s="772"/>
      <c r="E3" s="772"/>
      <c r="F3" s="772"/>
      <c r="G3" s="772"/>
      <c r="H3" s="772"/>
      <c r="I3" s="772"/>
      <c r="J3" s="772"/>
    </row>
    <row r="4" spans="1:10" ht="20.25">
      <c r="A4" s="701" t="s">
        <v>878</v>
      </c>
      <c r="B4" s="701"/>
      <c r="C4" s="701"/>
      <c r="D4" s="701"/>
      <c r="E4" s="701"/>
      <c r="F4" s="701"/>
      <c r="G4" s="701"/>
      <c r="H4" s="701"/>
      <c r="I4" s="701"/>
      <c r="J4" s="701"/>
    </row>
    <row r="5" ht="14.25" customHeight="1"/>
    <row r="6" spans="1:12" s="16" customFormat="1" ht="19.5" customHeight="1">
      <c r="A6" s="773" t="s">
        <v>1032</v>
      </c>
      <c r="B6" s="773"/>
      <c r="C6" s="773"/>
      <c r="D6" s="773"/>
      <c r="E6" s="773"/>
      <c r="F6" s="773"/>
      <c r="G6" s="773"/>
      <c r="H6" s="773"/>
      <c r="I6" s="773"/>
      <c r="J6" s="773"/>
      <c r="K6" s="773"/>
      <c r="L6" s="773"/>
    </row>
    <row r="7" spans="1:8" s="16" customFormat="1" ht="13.5" customHeight="1">
      <c r="A7" s="1"/>
      <c r="B7" s="1"/>
      <c r="C7" s="1"/>
      <c r="D7" s="1"/>
      <c r="E7" s="1"/>
      <c r="F7" s="1"/>
      <c r="G7" s="1"/>
      <c r="H7" s="1"/>
    </row>
    <row r="8" s="16" customFormat="1" ht="0.75" customHeight="1"/>
    <row r="9" spans="1:8" s="16" customFormat="1" ht="12.75">
      <c r="A9" s="668" t="s">
        <v>472</v>
      </c>
      <c r="B9" s="668"/>
      <c r="C9" s="29"/>
      <c r="G9" s="849"/>
      <c r="H9" s="849"/>
    </row>
    <row r="10" spans="1:13" s="16" customFormat="1" ht="12.75">
      <c r="A10" s="29"/>
      <c r="B10" s="29"/>
      <c r="C10" s="29"/>
      <c r="G10" s="519"/>
      <c r="H10" s="103"/>
      <c r="I10" s="103"/>
      <c r="J10" s="792" t="s">
        <v>1007</v>
      </c>
      <c r="K10" s="792"/>
      <c r="L10" s="792"/>
      <c r="M10" s="21"/>
    </row>
    <row r="11" spans="1:14" s="16" customFormat="1" ht="18" customHeight="1">
      <c r="A11" s="674" t="s">
        <v>2</v>
      </c>
      <c r="B11" s="1049" t="s">
        <v>3</v>
      </c>
      <c r="C11" s="677" t="s">
        <v>779</v>
      </c>
      <c r="D11" s="677"/>
      <c r="E11" s="677" t="s">
        <v>125</v>
      </c>
      <c r="F11" s="677"/>
      <c r="G11" s="677" t="s">
        <v>780</v>
      </c>
      <c r="H11" s="677"/>
      <c r="I11" s="727" t="s">
        <v>126</v>
      </c>
      <c r="J11" s="729"/>
      <c r="K11" s="727" t="s">
        <v>127</v>
      </c>
      <c r="L11" s="729"/>
      <c r="M11" s="21"/>
      <c r="N11" s="21"/>
    </row>
    <row r="12" spans="1:13" s="16" customFormat="1" ht="37.5" customHeight="1">
      <c r="A12" s="674"/>
      <c r="B12" s="1049"/>
      <c r="C12" s="257" t="s">
        <v>781</v>
      </c>
      <c r="D12" s="257" t="s">
        <v>782</v>
      </c>
      <c r="E12" s="257" t="s">
        <v>783</v>
      </c>
      <c r="F12" s="257" t="s">
        <v>784</v>
      </c>
      <c r="G12" s="257" t="s">
        <v>783</v>
      </c>
      <c r="H12" s="257" t="s">
        <v>784</v>
      </c>
      <c r="I12" s="257" t="s">
        <v>781</v>
      </c>
      <c r="J12" s="257" t="s">
        <v>782</v>
      </c>
      <c r="K12" s="257" t="s">
        <v>781</v>
      </c>
      <c r="L12" s="257" t="s">
        <v>782</v>
      </c>
      <c r="M12" s="21"/>
    </row>
    <row r="13" spans="1:12" s="16" customFormat="1" ht="12.75">
      <c r="A13" s="5">
        <v>1</v>
      </c>
      <c r="B13" s="299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</row>
    <row r="14" spans="1:12" s="16" customFormat="1" ht="15.75" customHeight="1">
      <c r="A14" s="271">
        <v>1</v>
      </c>
      <c r="B14" s="276" t="s">
        <v>473</v>
      </c>
      <c r="C14" s="276"/>
      <c r="D14" s="276"/>
      <c r="E14" s="276"/>
      <c r="F14" s="276"/>
      <c r="G14" s="276"/>
      <c r="H14" s="276"/>
      <c r="I14" s="276"/>
      <c r="J14" s="276"/>
      <c r="K14" s="276"/>
      <c r="L14" s="276"/>
    </row>
    <row r="15" spans="1:12" s="16" customFormat="1" ht="15.75" customHeight="1">
      <c r="A15" s="271">
        <v>2</v>
      </c>
      <c r="B15" s="276" t="s">
        <v>474</v>
      </c>
      <c r="C15" s="276"/>
      <c r="D15" s="276"/>
      <c r="E15" s="276"/>
      <c r="F15" s="276"/>
      <c r="G15" s="276"/>
      <c r="H15" s="276"/>
      <c r="I15" s="276"/>
      <c r="J15" s="276"/>
      <c r="K15" s="276"/>
      <c r="L15" s="276"/>
    </row>
    <row r="16" spans="1:12" s="16" customFormat="1" ht="15.75" customHeight="1">
      <c r="A16" s="271">
        <v>3</v>
      </c>
      <c r="B16" s="276" t="s">
        <v>475</v>
      </c>
      <c r="C16" s="276"/>
      <c r="D16" s="953" t="s">
        <v>509</v>
      </c>
      <c r="E16" s="954"/>
      <c r="F16" s="954"/>
      <c r="G16" s="954"/>
      <c r="H16" s="954"/>
      <c r="I16" s="954"/>
      <c r="J16" s="955"/>
      <c r="K16" s="276"/>
      <c r="L16" s="276"/>
    </row>
    <row r="17" spans="1:12" s="16" customFormat="1" ht="15.75" customHeight="1">
      <c r="A17" s="271">
        <v>4</v>
      </c>
      <c r="B17" s="276" t="s">
        <v>476</v>
      </c>
      <c r="C17" s="276"/>
      <c r="D17" s="956"/>
      <c r="E17" s="957"/>
      <c r="F17" s="957"/>
      <c r="G17" s="957"/>
      <c r="H17" s="957"/>
      <c r="I17" s="957"/>
      <c r="J17" s="958"/>
      <c r="K17" s="276"/>
      <c r="L17" s="276"/>
    </row>
    <row r="18" spans="1:12" s="16" customFormat="1" ht="15.75" customHeight="1">
      <c r="A18" s="271">
        <v>5</v>
      </c>
      <c r="B18" s="276" t="s">
        <v>477</v>
      </c>
      <c r="C18" s="276"/>
      <c r="D18" s="959"/>
      <c r="E18" s="960"/>
      <c r="F18" s="960"/>
      <c r="G18" s="960"/>
      <c r="H18" s="960"/>
      <c r="I18" s="960"/>
      <c r="J18" s="961"/>
      <c r="K18" s="276"/>
      <c r="L18" s="276"/>
    </row>
    <row r="19" spans="1:12" s="16" customFormat="1" ht="15.75" customHeight="1">
      <c r="A19" s="271">
        <v>6</v>
      </c>
      <c r="B19" s="276" t="s">
        <v>478</v>
      </c>
      <c r="C19" s="276"/>
      <c r="D19" s="276"/>
      <c r="E19" s="276"/>
      <c r="F19" s="276"/>
      <c r="G19" s="276"/>
      <c r="H19" s="276"/>
      <c r="I19" s="276"/>
      <c r="J19" s="276"/>
      <c r="K19" s="276"/>
      <c r="L19" s="276"/>
    </row>
    <row r="20" spans="1:12" s="16" customFormat="1" ht="15.75" customHeight="1">
      <c r="A20" s="271">
        <v>7</v>
      </c>
      <c r="B20" s="276" t="s">
        <v>479</v>
      </c>
      <c r="C20" s="276"/>
      <c r="D20" s="276"/>
      <c r="E20" s="276"/>
      <c r="F20" s="276"/>
      <c r="G20" s="276"/>
      <c r="H20" s="276"/>
      <c r="I20" s="276"/>
      <c r="J20" s="276"/>
      <c r="K20" s="276"/>
      <c r="L20" s="276"/>
    </row>
    <row r="21" spans="1:12" s="16" customFormat="1" ht="15.75" customHeight="1">
      <c r="A21" s="271">
        <v>8</v>
      </c>
      <c r="B21" s="276" t="s">
        <v>480</v>
      </c>
      <c r="C21" s="276"/>
      <c r="D21" s="276"/>
      <c r="E21" s="276"/>
      <c r="F21" s="276"/>
      <c r="G21" s="276"/>
      <c r="H21" s="276"/>
      <c r="I21" s="276"/>
      <c r="J21" s="276"/>
      <c r="K21" s="276"/>
      <c r="L21" s="276"/>
    </row>
    <row r="22" spans="1:12" s="16" customFormat="1" ht="15">
      <c r="A22" s="1094" t="s">
        <v>16</v>
      </c>
      <c r="B22" s="1095"/>
      <c r="C22" s="276"/>
      <c r="D22" s="276"/>
      <c r="E22" s="276"/>
      <c r="F22" s="276"/>
      <c r="G22" s="276"/>
      <c r="H22" s="276"/>
      <c r="I22" s="276"/>
      <c r="J22" s="276"/>
      <c r="K22" s="276"/>
      <c r="L22" s="276"/>
    </row>
    <row r="23" spans="1:8" s="16" customFormat="1" ht="12.75">
      <c r="A23" s="12"/>
      <c r="B23" s="28"/>
      <c r="C23" s="28"/>
      <c r="D23" s="21"/>
      <c r="E23" s="21"/>
      <c r="F23" s="21"/>
      <c r="G23" s="21"/>
      <c r="H23" s="21"/>
    </row>
    <row r="24" spans="1:8" s="16" customFormat="1" ht="12.75">
      <c r="A24" s="12"/>
      <c r="B24" s="28"/>
      <c r="C24" s="28"/>
      <c r="D24" s="21"/>
      <c r="E24" s="21"/>
      <c r="F24" s="21"/>
      <c r="G24" s="21"/>
      <c r="H24" s="21"/>
    </row>
    <row r="25" spans="1:8" s="16" customFormat="1" ht="12.75">
      <c r="A25" s="12"/>
      <c r="B25" s="28"/>
      <c r="C25" s="28"/>
      <c r="D25" s="21"/>
      <c r="E25" s="21"/>
      <c r="F25" s="21"/>
      <c r="G25" s="21"/>
      <c r="H25" s="21"/>
    </row>
    <row r="26" spans="1:13" s="16" customFormat="1" ht="12.75">
      <c r="A26" s="12"/>
      <c r="B26" s="28"/>
      <c r="C26" s="28"/>
      <c r="D26" s="21"/>
      <c r="E26" s="21"/>
      <c r="F26" s="21"/>
      <c r="G26" s="644"/>
      <c r="H26" s="644"/>
      <c r="I26" s="644"/>
      <c r="J26" s="644"/>
      <c r="K26" s="644"/>
      <c r="L26" s="164"/>
      <c r="M26" s="164"/>
    </row>
    <row r="27" spans="1:13" s="16" customFormat="1" ht="12.75" customHeight="1">
      <c r="A27" s="15" t="s">
        <v>12</v>
      </c>
      <c r="B27" s="28"/>
      <c r="C27" s="28"/>
      <c r="D27" s="21"/>
      <c r="E27" s="21"/>
      <c r="F27" s="21"/>
      <c r="H27" s="644"/>
      <c r="I27" s="1093" t="s">
        <v>1062</v>
      </c>
      <c r="J27" s="1093"/>
      <c r="K27" s="1093"/>
      <c r="L27" s="1093"/>
      <c r="M27" s="164"/>
    </row>
    <row r="28" spans="2:13" s="16" customFormat="1" ht="15.75" customHeight="1">
      <c r="B28" s="15"/>
      <c r="C28" s="15"/>
      <c r="D28" s="15"/>
      <c r="E28" s="15"/>
      <c r="F28" s="15"/>
      <c r="H28" s="644"/>
      <c r="I28" s="1093" t="s">
        <v>485</v>
      </c>
      <c r="J28" s="1093"/>
      <c r="K28" s="1093"/>
      <c r="L28" s="1093"/>
      <c r="M28" s="164"/>
    </row>
    <row r="29" spans="1:13" s="16" customFormat="1" ht="12.75" customHeight="1">
      <c r="A29" s="86"/>
      <c r="B29" s="86"/>
      <c r="C29" s="86"/>
      <c r="D29" s="86"/>
      <c r="E29" s="86"/>
      <c r="F29" s="86"/>
      <c r="G29" s="164"/>
      <c r="H29" s="645" t="s">
        <v>80</v>
      </c>
      <c r="I29" s="393"/>
      <c r="J29" s="393"/>
      <c r="K29" s="393"/>
      <c r="L29" s="393"/>
      <c r="M29" s="393"/>
    </row>
    <row r="30" spans="1:12" s="16" customFormat="1" ht="12.75" customHeight="1">
      <c r="A30" s="15"/>
      <c r="B30" s="15"/>
      <c r="C30" s="15"/>
      <c r="E30" s="15"/>
      <c r="G30" s="1093"/>
      <c r="H30" s="1093"/>
      <c r="I30" s="1093"/>
      <c r="J30" s="1093"/>
      <c r="K30" s="164"/>
      <c r="L30" s="164"/>
    </row>
    <row r="31" spans="7:12" s="16" customFormat="1" ht="12.75">
      <c r="G31" s="393"/>
      <c r="H31" s="393"/>
      <c r="I31" s="393"/>
      <c r="J31" s="393"/>
      <c r="K31" s="393"/>
      <c r="L31" s="393"/>
    </row>
    <row r="32" s="16" customFormat="1" ht="12.75"/>
  </sheetData>
  <sheetProtection/>
  <mergeCells count="19">
    <mergeCell ref="I11:J11"/>
    <mergeCell ref="D16:J18"/>
    <mergeCell ref="E2:G2"/>
    <mergeCell ref="A3:J3"/>
    <mergeCell ref="A4:J4"/>
    <mergeCell ref="A9:B9"/>
    <mergeCell ref="G9:H9"/>
    <mergeCell ref="J10:L10"/>
    <mergeCell ref="A6:L6"/>
    <mergeCell ref="G30:J30"/>
    <mergeCell ref="A11:A12"/>
    <mergeCell ref="B11:B12"/>
    <mergeCell ref="C11:D11"/>
    <mergeCell ref="E11:F11"/>
    <mergeCell ref="I27:L27"/>
    <mergeCell ref="I28:L28"/>
    <mergeCell ref="A22:B22"/>
    <mergeCell ref="K11:L11"/>
    <mergeCell ref="G11:H11"/>
  </mergeCells>
  <printOptions/>
  <pageMargins left="0.44" right="0.25" top="0.75" bottom="0.75" header="0.3" footer="0.3"/>
  <pageSetup horizontalDpi="600" verticalDpi="600" orientation="landscape" paperSize="9" scale="95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A1">
      <selection activeCell="D16" sqref="D16:J18"/>
    </sheetView>
  </sheetViews>
  <sheetFormatPr defaultColWidth="9.140625" defaultRowHeight="12.75"/>
  <cols>
    <col min="1" max="1" width="6.00390625" style="0" customWidth="1"/>
    <col min="2" max="2" width="12.28125" style="0" customWidth="1"/>
    <col min="3" max="3" width="11.7109375" style="0" customWidth="1"/>
    <col min="4" max="4" width="11.8515625" style="0" customWidth="1"/>
    <col min="5" max="8" width="15.00390625" style="0" customWidth="1"/>
    <col min="9" max="9" width="11.57421875" style="0" customWidth="1"/>
    <col min="10" max="10" width="12.7109375" style="0" customWidth="1"/>
    <col min="11" max="11" width="10.57421875" style="0" customWidth="1"/>
    <col min="12" max="12" width="11.28125" style="0" customWidth="1"/>
  </cols>
  <sheetData>
    <row r="2" spans="5:11" ht="12.75">
      <c r="E2" s="676"/>
      <c r="F2" s="676"/>
      <c r="G2" s="676"/>
      <c r="K2" s="518" t="s">
        <v>785</v>
      </c>
    </row>
    <row r="3" spans="1:10" ht="15">
      <c r="A3" s="772" t="s">
        <v>0</v>
      </c>
      <c r="B3" s="772"/>
      <c r="C3" s="772"/>
      <c r="D3" s="772"/>
      <c r="E3" s="772"/>
      <c r="F3" s="772"/>
      <c r="G3" s="772"/>
      <c r="H3" s="772"/>
      <c r="I3" s="772"/>
      <c r="J3" s="772"/>
    </row>
    <row r="4" spans="1:10" ht="20.25">
      <c r="A4" s="701" t="s">
        <v>878</v>
      </c>
      <c r="B4" s="701"/>
      <c r="C4" s="701"/>
      <c r="D4" s="701"/>
      <c r="E4" s="701"/>
      <c r="F4" s="701"/>
      <c r="G4" s="701"/>
      <c r="H4" s="701"/>
      <c r="I4" s="701"/>
      <c r="J4" s="701"/>
    </row>
    <row r="5" ht="19.5" customHeight="1"/>
    <row r="6" spans="1:12" s="16" customFormat="1" ht="15.75">
      <c r="A6" s="773" t="s">
        <v>1033</v>
      </c>
      <c r="B6" s="773"/>
      <c r="C6" s="773"/>
      <c r="D6" s="773"/>
      <c r="E6" s="773"/>
      <c r="F6" s="773"/>
      <c r="G6" s="773"/>
      <c r="H6" s="773"/>
      <c r="I6" s="773"/>
      <c r="J6" s="773"/>
      <c r="K6" s="773"/>
      <c r="L6" s="773"/>
    </row>
    <row r="7" spans="1:8" s="16" customFormat="1" ht="13.5" customHeight="1">
      <c r="A7" s="1"/>
      <c r="B7" s="1"/>
      <c r="C7" s="1"/>
      <c r="D7" s="1"/>
      <c r="E7" s="1"/>
      <c r="F7" s="1"/>
      <c r="G7" s="1"/>
      <c r="H7" s="1"/>
    </row>
    <row r="8" s="16" customFormat="1" ht="0.75" customHeight="1"/>
    <row r="9" spans="1:13" s="16" customFormat="1" ht="12.75">
      <c r="A9" s="668" t="s">
        <v>472</v>
      </c>
      <c r="B9" s="668"/>
      <c r="C9" s="29"/>
      <c r="G9" s="849"/>
      <c r="H9" s="849"/>
      <c r="M9" s="21"/>
    </row>
    <row r="10" spans="1:13" s="16" customFormat="1" ht="12.75">
      <c r="A10" s="29"/>
      <c r="B10" s="29"/>
      <c r="C10" s="29"/>
      <c r="G10" s="519"/>
      <c r="H10" s="113"/>
      <c r="I10" s="113"/>
      <c r="J10" s="672" t="s">
        <v>1007</v>
      </c>
      <c r="K10" s="672"/>
      <c r="L10" s="672"/>
      <c r="M10" s="463"/>
    </row>
    <row r="11" spans="1:14" s="16" customFormat="1" ht="18" customHeight="1">
      <c r="A11" s="708" t="s">
        <v>2</v>
      </c>
      <c r="B11" s="1046" t="s">
        <v>3</v>
      </c>
      <c r="C11" s="727" t="s">
        <v>779</v>
      </c>
      <c r="D11" s="729"/>
      <c r="E11" s="727" t="s">
        <v>125</v>
      </c>
      <c r="F11" s="729"/>
      <c r="G11" s="677" t="s">
        <v>780</v>
      </c>
      <c r="H11" s="677"/>
      <c r="I11" s="677" t="s">
        <v>126</v>
      </c>
      <c r="J11" s="677"/>
      <c r="K11" s="677" t="s">
        <v>127</v>
      </c>
      <c r="L11" s="677"/>
      <c r="M11" s="21"/>
      <c r="N11" s="21"/>
    </row>
    <row r="12" spans="1:13" s="16" customFormat="1" ht="37.5" customHeight="1">
      <c r="A12" s="710"/>
      <c r="B12" s="1047"/>
      <c r="C12" s="257" t="s">
        <v>781</v>
      </c>
      <c r="D12" s="257" t="s">
        <v>782</v>
      </c>
      <c r="E12" s="257" t="s">
        <v>783</v>
      </c>
      <c r="F12" s="257" t="s">
        <v>784</v>
      </c>
      <c r="G12" s="257" t="s">
        <v>783</v>
      </c>
      <c r="H12" s="257" t="s">
        <v>784</v>
      </c>
      <c r="I12" s="257" t="s">
        <v>781</v>
      </c>
      <c r="J12" s="257" t="s">
        <v>782</v>
      </c>
      <c r="K12" s="257" t="s">
        <v>781</v>
      </c>
      <c r="L12" s="257" t="s">
        <v>782</v>
      </c>
      <c r="M12" s="21"/>
    </row>
    <row r="13" spans="1:12" s="16" customFormat="1" ht="12.75">
      <c r="A13" s="5">
        <v>1</v>
      </c>
      <c r="B13" s="299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</row>
    <row r="14" spans="1:12" s="16" customFormat="1" ht="15.75" customHeight="1">
      <c r="A14" s="271">
        <v>1</v>
      </c>
      <c r="B14" s="276" t="s">
        <v>473</v>
      </c>
      <c r="C14" s="276"/>
      <c r="D14" s="276"/>
      <c r="E14" s="276"/>
      <c r="F14" s="276"/>
      <c r="G14" s="276"/>
      <c r="H14" s="276"/>
      <c r="I14" s="276"/>
      <c r="J14" s="276"/>
      <c r="K14" s="276"/>
      <c r="L14" s="276"/>
    </row>
    <row r="15" spans="1:12" s="16" customFormat="1" ht="15.75" customHeight="1">
      <c r="A15" s="271">
        <v>2</v>
      </c>
      <c r="B15" s="276" t="s">
        <v>474</v>
      </c>
      <c r="C15" s="276"/>
      <c r="D15" s="276"/>
      <c r="E15" s="276"/>
      <c r="F15" s="276"/>
      <c r="G15" s="276"/>
      <c r="H15" s="276"/>
      <c r="I15" s="276"/>
      <c r="J15" s="276"/>
      <c r="K15" s="276"/>
      <c r="L15" s="276"/>
    </row>
    <row r="16" spans="1:12" s="16" customFormat="1" ht="15.75" customHeight="1">
      <c r="A16" s="271">
        <v>3</v>
      </c>
      <c r="B16" s="276" t="s">
        <v>475</v>
      </c>
      <c r="C16" s="276"/>
      <c r="D16" s="1096" t="s">
        <v>509</v>
      </c>
      <c r="E16" s="1097"/>
      <c r="F16" s="1097"/>
      <c r="G16" s="1097"/>
      <c r="H16" s="1097"/>
      <c r="I16" s="1097"/>
      <c r="J16" s="1098"/>
      <c r="K16" s="276"/>
      <c r="L16" s="276"/>
    </row>
    <row r="17" spans="1:12" s="16" customFormat="1" ht="15.75" customHeight="1">
      <c r="A17" s="271">
        <v>4</v>
      </c>
      <c r="B17" s="276" t="s">
        <v>476</v>
      </c>
      <c r="C17" s="276"/>
      <c r="D17" s="1099"/>
      <c r="E17" s="1100"/>
      <c r="F17" s="1100"/>
      <c r="G17" s="1100"/>
      <c r="H17" s="1100"/>
      <c r="I17" s="1100"/>
      <c r="J17" s="1101"/>
      <c r="K17" s="276"/>
      <c r="L17" s="276"/>
    </row>
    <row r="18" spans="1:12" s="16" customFormat="1" ht="15.75" customHeight="1">
      <c r="A18" s="271">
        <v>5</v>
      </c>
      <c r="B18" s="276" t="s">
        <v>477</v>
      </c>
      <c r="C18" s="276"/>
      <c r="D18" s="1102"/>
      <c r="E18" s="1103"/>
      <c r="F18" s="1103"/>
      <c r="G18" s="1103"/>
      <c r="H18" s="1103"/>
      <c r="I18" s="1103"/>
      <c r="J18" s="1104"/>
      <c r="K18" s="276"/>
      <c r="L18" s="276"/>
    </row>
    <row r="19" spans="1:12" s="16" customFormat="1" ht="15.75" customHeight="1">
      <c r="A19" s="271">
        <v>6</v>
      </c>
      <c r="B19" s="276" t="s">
        <v>478</v>
      </c>
      <c r="C19" s="276"/>
      <c r="D19" s="276"/>
      <c r="E19" s="276"/>
      <c r="F19" s="276"/>
      <c r="G19" s="276"/>
      <c r="H19" s="276"/>
      <c r="I19" s="276"/>
      <c r="J19" s="276"/>
      <c r="K19" s="276"/>
      <c r="L19" s="276"/>
    </row>
    <row r="20" spans="1:12" s="16" customFormat="1" ht="15.75" customHeight="1">
      <c r="A20" s="271">
        <v>7</v>
      </c>
      <c r="B20" s="276" t="s">
        <v>479</v>
      </c>
      <c r="C20" s="276"/>
      <c r="D20" s="276"/>
      <c r="E20" s="276"/>
      <c r="F20" s="276"/>
      <c r="G20" s="276"/>
      <c r="H20" s="276"/>
      <c r="I20" s="276"/>
      <c r="J20" s="276"/>
      <c r="K20" s="276"/>
      <c r="L20" s="276"/>
    </row>
    <row r="21" spans="1:12" s="16" customFormat="1" ht="15.75" customHeight="1">
      <c r="A21" s="271">
        <v>8</v>
      </c>
      <c r="B21" s="276" t="s">
        <v>480</v>
      </c>
      <c r="C21" s="276"/>
      <c r="D21" s="276"/>
      <c r="E21" s="276"/>
      <c r="F21" s="276"/>
      <c r="G21" s="276"/>
      <c r="H21" s="276"/>
      <c r="I21" s="276"/>
      <c r="J21" s="276"/>
      <c r="K21" s="276"/>
      <c r="L21" s="276"/>
    </row>
    <row r="22" spans="1:12" s="16" customFormat="1" ht="15">
      <c r="A22" s="1094" t="s">
        <v>16</v>
      </c>
      <c r="B22" s="1095"/>
      <c r="C22" s="276"/>
      <c r="D22" s="276"/>
      <c r="E22" s="276"/>
      <c r="F22" s="276"/>
      <c r="G22" s="276"/>
      <c r="H22" s="276"/>
      <c r="I22" s="276"/>
      <c r="J22" s="276"/>
      <c r="K22" s="276"/>
      <c r="L22" s="276"/>
    </row>
    <row r="23" spans="1:8" s="16" customFormat="1" ht="12.75">
      <c r="A23" s="12"/>
      <c r="B23" s="28"/>
      <c r="C23" s="28"/>
      <c r="D23" s="21"/>
      <c r="E23" s="21"/>
      <c r="F23" s="21"/>
      <c r="G23" s="21"/>
      <c r="H23" s="21"/>
    </row>
    <row r="24" spans="1:8" s="16" customFormat="1" ht="12.75">
      <c r="A24" s="12"/>
      <c r="B24" s="28"/>
      <c r="C24" s="28"/>
      <c r="D24" s="21"/>
      <c r="E24" s="21"/>
      <c r="F24" s="21"/>
      <c r="G24" s="21"/>
      <c r="H24" s="21"/>
    </row>
    <row r="25" spans="1:8" s="16" customFormat="1" ht="12.75">
      <c r="A25" s="12"/>
      <c r="B25" s="28"/>
      <c r="C25" s="28"/>
      <c r="D25" s="21"/>
      <c r="E25" s="21"/>
      <c r="F25" s="21"/>
      <c r="G25" s="21"/>
      <c r="H25" s="21"/>
    </row>
    <row r="26" spans="1:13" s="16" customFormat="1" ht="12.75">
      <c r="A26" s="12"/>
      <c r="B26" s="28"/>
      <c r="C26" s="28"/>
      <c r="D26" s="21"/>
      <c r="E26" s="21"/>
      <c r="F26" s="21"/>
      <c r="G26" s="644"/>
      <c r="H26" s="644"/>
      <c r="I26" s="644"/>
      <c r="J26" s="644"/>
      <c r="K26" s="644"/>
      <c r="L26" s="164"/>
      <c r="M26" s="164"/>
    </row>
    <row r="27" spans="1:13" s="16" customFormat="1" ht="12.75" customHeight="1">
      <c r="A27" s="15" t="s">
        <v>12</v>
      </c>
      <c r="B27" s="28"/>
      <c r="C27" s="28"/>
      <c r="D27" s="21"/>
      <c r="E27" s="21"/>
      <c r="F27" s="21"/>
      <c r="H27" s="644"/>
      <c r="I27" s="1093" t="s">
        <v>1062</v>
      </c>
      <c r="J27" s="1093"/>
      <c r="K27" s="1093"/>
      <c r="L27" s="1093"/>
      <c r="M27" s="164"/>
    </row>
    <row r="28" spans="2:13" s="16" customFormat="1" ht="15.75" customHeight="1">
      <c r="B28" s="15"/>
      <c r="C28" s="15"/>
      <c r="D28" s="15"/>
      <c r="E28" s="15"/>
      <c r="F28" s="15"/>
      <c r="H28" s="644"/>
      <c r="I28" s="1093" t="s">
        <v>485</v>
      </c>
      <c r="J28" s="1093"/>
      <c r="K28" s="1093"/>
      <c r="L28" s="1093"/>
      <c r="M28" s="164"/>
    </row>
    <row r="29" spans="1:13" s="16" customFormat="1" ht="12.75" customHeight="1">
      <c r="A29" s="86"/>
      <c r="B29" s="86"/>
      <c r="C29" s="86"/>
      <c r="D29" s="86"/>
      <c r="E29" s="86"/>
      <c r="F29" s="86"/>
      <c r="G29" s="164"/>
      <c r="H29" s="645" t="s">
        <v>80</v>
      </c>
      <c r="I29" s="393"/>
      <c r="J29" s="393"/>
      <c r="K29" s="393"/>
      <c r="L29" s="393"/>
      <c r="M29" s="393"/>
    </row>
    <row r="30" spans="1:12" s="16" customFormat="1" ht="12.75" customHeight="1">
      <c r="A30" s="15"/>
      <c r="B30" s="15"/>
      <c r="C30" s="15"/>
      <c r="E30" s="15"/>
      <c r="G30" s="1093"/>
      <c r="H30" s="1093"/>
      <c r="I30" s="1093"/>
      <c r="J30" s="1093"/>
      <c r="K30" s="164"/>
      <c r="L30" s="164"/>
    </row>
    <row r="31" spans="1:12" s="16" customFormat="1" ht="12.75" customHeight="1">
      <c r="A31" s="15"/>
      <c r="B31" s="15"/>
      <c r="C31" s="15"/>
      <c r="E31" s="15"/>
      <c r="G31" s="1093"/>
      <c r="H31" s="1093"/>
      <c r="I31" s="1093"/>
      <c r="J31" s="1093"/>
      <c r="K31" s="164"/>
      <c r="L31" s="164"/>
    </row>
    <row r="32" s="16" customFormat="1" ht="12.75"/>
    <row r="33" s="16" customFormat="1" ht="12.75"/>
  </sheetData>
  <sheetProtection/>
  <mergeCells count="20">
    <mergeCell ref="J10:L10"/>
    <mergeCell ref="A22:B22"/>
    <mergeCell ref="A11:A12"/>
    <mergeCell ref="B11:B12"/>
    <mergeCell ref="C11:D11"/>
    <mergeCell ref="E11:F11"/>
    <mergeCell ref="D16:J18"/>
    <mergeCell ref="E2:G2"/>
    <mergeCell ref="A3:J3"/>
    <mergeCell ref="A4:J4"/>
    <mergeCell ref="A9:B9"/>
    <mergeCell ref="G9:H9"/>
    <mergeCell ref="A6:L6"/>
    <mergeCell ref="G31:J31"/>
    <mergeCell ref="G11:H11"/>
    <mergeCell ref="I11:J11"/>
    <mergeCell ref="K11:L11"/>
    <mergeCell ref="I27:L27"/>
    <mergeCell ref="I28:L28"/>
    <mergeCell ref="G30:J30"/>
  </mergeCells>
  <printOptions/>
  <pageMargins left="0.59" right="0.25" top="0.75" bottom="0.75" header="0.3" footer="0.3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view="pageBreakPreview" zoomScaleSheetLayoutView="100" zoomScalePageLayoutView="0" workbookViewId="0" topLeftCell="A4">
      <selection activeCell="E22" sqref="E22"/>
    </sheetView>
  </sheetViews>
  <sheetFormatPr defaultColWidth="9.140625" defaultRowHeight="12.75"/>
  <cols>
    <col min="1" max="1" width="5.421875" style="0" customWidth="1"/>
    <col min="2" max="2" width="11.8515625" style="0" customWidth="1"/>
    <col min="3" max="3" width="14.00390625" style="0" customWidth="1"/>
    <col min="4" max="4" width="15.00390625" style="0" customWidth="1"/>
    <col min="5" max="5" width="18.421875" style="0" customWidth="1"/>
    <col min="6" max="6" width="17.140625" style="0" customWidth="1"/>
    <col min="7" max="7" width="21.421875" style="0" customWidth="1"/>
    <col min="8" max="8" width="19.00390625" style="0" customWidth="1"/>
    <col min="9" max="9" width="9.8515625" style="0" customWidth="1"/>
  </cols>
  <sheetData>
    <row r="1" spans="1:8" ht="18">
      <c r="A1" s="760" t="s">
        <v>483</v>
      </c>
      <c r="B1" s="760"/>
      <c r="C1" s="760"/>
      <c r="D1" s="760"/>
      <c r="E1" s="760"/>
      <c r="F1" s="760"/>
      <c r="G1" s="760"/>
      <c r="H1" s="626" t="s">
        <v>253</v>
      </c>
    </row>
    <row r="2" spans="1:8" ht="21">
      <c r="A2" s="761" t="s">
        <v>878</v>
      </c>
      <c r="B2" s="761"/>
      <c r="C2" s="761"/>
      <c r="D2" s="761"/>
      <c r="E2" s="761"/>
      <c r="F2" s="761"/>
      <c r="G2" s="761"/>
      <c r="H2" s="761"/>
    </row>
    <row r="3" spans="1:2" ht="15">
      <c r="A3" s="183"/>
      <c r="B3" s="183"/>
    </row>
    <row r="4" spans="1:8" ht="18" customHeight="1">
      <c r="A4" s="762" t="s">
        <v>883</v>
      </c>
      <c r="B4" s="762"/>
      <c r="C4" s="762"/>
      <c r="D4" s="762"/>
      <c r="E4" s="762"/>
      <c r="F4" s="762"/>
      <c r="G4" s="762"/>
      <c r="H4" s="762"/>
    </row>
    <row r="5" spans="1:2" ht="15">
      <c r="A5" s="184" t="s">
        <v>482</v>
      </c>
      <c r="B5" s="184"/>
    </row>
    <row r="6" spans="1:9" ht="15">
      <c r="A6" s="184"/>
      <c r="B6" s="184"/>
      <c r="G6" s="763" t="s">
        <v>931</v>
      </c>
      <c r="H6" s="763"/>
      <c r="I6" s="113"/>
    </row>
    <row r="7" spans="1:8" ht="59.25" customHeight="1">
      <c r="A7" s="265" t="s">
        <v>70</v>
      </c>
      <c r="B7" s="265" t="s">
        <v>3</v>
      </c>
      <c r="C7" s="266" t="s">
        <v>254</v>
      </c>
      <c r="D7" s="266" t="s">
        <v>255</v>
      </c>
      <c r="E7" s="266" t="s">
        <v>256</v>
      </c>
      <c r="F7" s="266" t="s">
        <v>257</v>
      </c>
      <c r="G7" s="266" t="s">
        <v>258</v>
      </c>
      <c r="H7" s="266" t="s">
        <v>259</v>
      </c>
    </row>
    <row r="8" spans="1:8" s="181" customFormat="1" ht="15">
      <c r="A8" s="185" t="s">
        <v>260</v>
      </c>
      <c r="B8" s="185" t="s">
        <v>261</v>
      </c>
      <c r="C8" s="185" t="s">
        <v>262</v>
      </c>
      <c r="D8" s="185" t="s">
        <v>263</v>
      </c>
      <c r="E8" s="185" t="s">
        <v>264</v>
      </c>
      <c r="F8" s="185" t="s">
        <v>265</v>
      </c>
      <c r="G8" s="185" t="s">
        <v>266</v>
      </c>
      <c r="H8" s="185" t="s">
        <v>267</v>
      </c>
    </row>
    <row r="9" spans="1:8" ht="12.75">
      <c r="A9" s="8">
        <v>1</v>
      </c>
      <c r="B9" s="19" t="s">
        <v>473</v>
      </c>
      <c r="C9" s="186">
        <v>599</v>
      </c>
      <c r="D9" s="186">
        <v>309</v>
      </c>
      <c r="E9" s="186">
        <v>9</v>
      </c>
      <c r="F9" s="186">
        <f>SUM(C9:E9)</f>
        <v>917</v>
      </c>
      <c r="G9" s="186">
        <f>F9</f>
        <v>917</v>
      </c>
      <c r="H9" s="9">
        <f>F9-G9</f>
        <v>0</v>
      </c>
    </row>
    <row r="10" spans="1:8" ht="12.75">
      <c r="A10" s="8">
        <v>2</v>
      </c>
      <c r="B10" s="19" t="s">
        <v>474</v>
      </c>
      <c r="C10" s="186">
        <v>587</v>
      </c>
      <c r="D10" s="186">
        <v>282</v>
      </c>
      <c r="E10" s="186">
        <v>6</v>
      </c>
      <c r="F10" s="186">
        <f aca="true" t="shared" si="0" ref="F10:F16">SUM(C10:E10)</f>
        <v>875</v>
      </c>
      <c r="G10" s="186">
        <f aca="true" t="shared" si="1" ref="G10:G16">F10</f>
        <v>875</v>
      </c>
      <c r="H10" s="9">
        <f aca="true" t="shared" si="2" ref="H10:H16">F10-G10</f>
        <v>0</v>
      </c>
    </row>
    <row r="11" spans="1:8" ht="12.75">
      <c r="A11" s="8">
        <v>3</v>
      </c>
      <c r="B11" s="19" t="s">
        <v>475</v>
      </c>
      <c r="C11" s="186">
        <v>456</v>
      </c>
      <c r="D11" s="186">
        <v>211</v>
      </c>
      <c r="E11" s="186">
        <v>1</v>
      </c>
      <c r="F11" s="186">
        <f t="shared" si="0"/>
        <v>668</v>
      </c>
      <c r="G11" s="186">
        <f t="shared" si="1"/>
        <v>668</v>
      </c>
      <c r="H11" s="9">
        <f t="shared" si="2"/>
        <v>0</v>
      </c>
    </row>
    <row r="12" spans="1:8" ht="12.75">
      <c r="A12" s="8">
        <v>4</v>
      </c>
      <c r="B12" s="19" t="s">
        <v>476</v>
      </c>
      <c r="C12" s="186">
        <v>528</v>
      </c>
      <c r="D12" s="186">
        <v>274</v>
      </c>
      <c r="E12" s="186">
        <v>8</v>
      </c>
      <c r="F12" s="186">
        <f>SUM(C12:E12)</f>
        <v>810</v>
      </c>
      <c r="G12" s="186">
        <f t="shared" si="1"/>
        <v>810</v>
      </c>
      <c r="H12" s="9">
        <f t="shared" si="2"/>
        <v>0</v>
      </c>
    </row>
    <row r="13" spans="1:8" ht="12.75">
      <c r="A13" s="8">
        <v>5</v>
      </c>
      <c r="B13" s="19" t="s">
        <v>477</v>
      </c>
      <c r="C13" s="186">
        <v>617</v>
      </c>
      <c r="D13" s="186">
        <v>300</v>
      </c>
      <c r="E13" s="186">
        <v>8</v>
      </c>
      <c r="F13" s="186">
        <f t="shared" si="0"/>
        <v>925</v>
      </c>
      <c r="G13" s="186">
        <f t="shared" si="1"/>
        <v>925</v>
      </c>
      <c r="H13" s="9">
        <f t="shared" si="2"/>
        <v>0</v>
      </c>
    </row>
    <row r="14" spans="1:8" ht="12.75">
      <c r="A14" s="8">
        <v>6</v>
      </c>
      <c r="B14" s="19" t="s">
        <v>478</v>
      </c>
      <c r="C14" s="186">
        <v>322</v>
      </c>
      <c r="D14" s="186">
        <v>147</v>
      </c>
      <c r="E14" s="186">
        <v>1</v>
      </c>
      <c r="F14" s="186">
        <f t="shared" si="0"/>
        <v>470</v>
      </c>
      <c r="G14" s="186">
        <f t="shared" si="1"/>
        <v>470</v>
      </c>
      <c r="H14" s="9">
        <f t="shared" si="2"/>
        <v>0</v>
      </c>
    </row>
    <row r="15" spans="1:8" ht="12.75">
      <c r="A15" s="8">
        <v>7</v>
      </c>
      <c r="B15" s="19" t="s">
        <v>479</v>
      </c>
      <c r="C15" s="186">
        <v>475</v>
      </c>
      <c r="D15" s="186">
        <v>241</v>
      </c>
      <c r="E15" s="186">
        <v>3</v>
      </c>
      <c r="F15" s="186">
        <f t="shared" si="0"/>
        <v>719</v>
      </c>
      <c r="G15" s="186">
        <f t="shared" si="1"/>
        <v>719</v>
      </c>
      <c r="H15" s="9">
        <f t="shared" si="2"/>
        <v>0</v>
      </c>
    </row>
    <row r="16" spans="1:8" ht="12.75">
      <c r="A16" s="8">
        <v>8</v>
      </c>
      <c r="B16" s="19" t="s">
        <v>480</v>
      </c>
      <c r="C16" s="186">
        <v>812</v>
      </c>
      <c r="D16" s="186">
        <v>322</v>
      </c>
      <c r="E16" s="186">
        <v>6</v>
      </c>
      <c r="F16" s="186">
        <f t="shared" si="0"/>
        <v>1140</v>
      </c>
      <c r="G16" s="186">
        <f t="shared" si="1"/>
        <v>1140</v>
      </c>
      <c r="H16" s="9">
        <f t="shared" si="2"/>
        <v>0</v>
      </c>
    </row>
    <row r="17" spans="1:8" s="15" customFormat="1" ht="12.75">
      <c r="A17" s="3"/>
      <c r="B17" s="27" t="s">
        <v>481</v>
      </c>
      <c r="C17" s="321">
        <f aca="true" t="shared" si="3" ref="C17:H17">SUM(C9:C16)</f>
        <v>4396</v>
      </c>
      <c r="D17" s="321">
        <f t="shared" si="3"/>
        <v>2086</v>
      </c>
      <c r="E17" s="321">
        <f t="shared" si="3"/>
        <v>42</v>
      </c>
      <c r="F17" s="321">
        <f t="shared" si="3"/>
        <v>6524</v>
      </c>
      <c r="G17" s="321">
        <f t="shared" si="3"/>
        <v>6524</v>
      </c>
      <c r="H17" s="321">
        <f t="shared" si="3"/>
        <v>0</v>
      </c>
    </row>
    <row r="19" ht="12.75">
      <c r="A19" s="187" t="s">
        <v>268</v>
      </c>
    </row>
    <row r="22" spans="1:11" ht="15" customHeight="1">
      <c r="A22" s="188" t="s">
        <v>12</v>
      </c>
      <c r="B22" s="188"/>
      <c r="C22" s="188"/>
      <c r="D22" s="188"/>
      <c r="E22" s="188"/>
      <c r="F22" s="764"/>
      <c r="G22" s="764"/>
      <c r="H22" s="189"/>
      <c r="I22" s="189"/>
      <c r="J22" s="189"/>
      <c r="K22" s="189"/>
    </row>
    <row r="23" spans="1:11" ht="15" customHeight="1">
      <c r="A23" s="188"/>
      <c r="B23" s="188"/>
      <c r="C23" s="188"/>
      <c r="D23" s="188"/>
      <c r="E23" s="188"/>
      <c r="F23" s="764" t="s">
        <v>1062</v>
      </c>
      <c r="G23" s="764"/>
      <c r="H23" s="764"/>
      <c r="I23" s="189"/>
      <c r="J23" s="189"/>
      <c r="K23" s="189"/>
    </row>
    <row r="24" spans="1:11" ht="15" customHeight="1">
      <c r="A24" s="188"/>
      <c r="B24" s="188"/>
      <c r="C24" s="188"/>
      <c r="D24" s="188"/>
      <c r="E24" s="188"/>
      <c r="F24" s="764" t="s">
        <v>484</v>
      </c>
      <c r="G24" s="764"/>
      <c r="H24" s="764"/>
      <c r="I24" s="189"/>
      <c r="J24" s="189"/>
      <c r="K24" s="189"/>
    </row>
    <row r="25" spans="3:11" ht="12.75">
      <c r="C25" s="188"/>
      <c r="D25" s="188"/>
      <c r="E25" s="188"/>
      <c r="F25" s="759" t="s">
        <v>80</v>
      </c>
      <c r="G25" s="759"/>
      <c r="H25" s="190"/>
      <c r="I25" s="190"/>
      <c r="J25" s="188"/>
      <c r="K25" s="188"/>
    </row>
    <row r="26" spans="1:15" ht="12.75">
      <c r="A26" s="188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</row>
  </sheetData>
  <sheetProtection/>
  <mergeCells count="8">
    <mergeCell ref="F25:G25"/>
    <mergeCell ref="A1:G1"/>
    <mergeCell ref="A2:H2"/>
    <mergeCell ref="A4:H4"/>
    <mergeCell ref="G6:H6"/>
    <mergeCell ref="F22:G22"/>
    <mergeCell ref="F23:H23"/>
    <mergeCell ref="F24:H24"/>
  </mergeCells>
  <printOptions horizontalCentered="1"/>
  <pageMargins left="0.7086614173228347" right="0.21" top="1.09" bottom="0" header="0.48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view="pageBreakPreview" zoomScaleSheetLayoutView="100" zoomScalePageLayoutView="0" workbookViewId="0" topLeftCell="A4">
      <selection activeCell="K30" sqref="K30:N30"/>
    </sheetView>
  </sheetViews>
  <sheetFormatPr defaultColWidth="9.140625" defaultRowHeight="12.75"/>
  <cols>
    <col min="1" max="1" width="8.00390625" style="0" customWidth="1"/>
    <col min="2" max="2" width="11.7109375" style="0" customWidth="1"/>
    <col min="3" max="14" width="10.8515625" style="0" customWidth="1"/>
  </cols>
  <sheetData>
    <row r="1" spans="4:14" ht="12.75" customHeight="1">
      <c r="D1" s="676"/>
      <c r="E1" s="676"/>
      <c r="F1" s="676"/>
      <c r="G1" s="676"/>
      <c r="H1" s="676"/>
      <c r="I1" s="676"/>
      <c r="L1" s="770" t="s">
        <v>84</v>
      </c>
      <c r="M1" s="770"/>
      <c r="N1" s="770"/>
    </row>
    <row r="2" spans="1:13" ht="15.75">
      <c r="A2" s="700" t="s">
        <v>0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</row>
    <row r="3" spans="1:13" ht="20.25">
      <c r="A3" s="701" t="s">
        <v>878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</row>
    <row r="4" ht="11.25" customHeight="1"/>
    <row r="5" spans="1:13" ht="15.75">
      <c r="A5" s="700" t="s">
        <v>884</v>
      </c>
      <c r="B5" s="700"/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</row>
    <row r="7" spans="1:14" ht="12.75">
      <c r="A7" s="668" t="s">
        <v>472</v>
      </c>
      <c r="B7" s="668"/>
      <c r="K7" s="113"/>
      <c r="L7" s="771" t="s">
        <v>931</v>
      </c>
      <c r="M7" s="771"/>
      <c r="N7" s="771"/>
    </row>
    <row r="8" spans="1:14" ht="12.75">
      <c r="A8" s="29"/>
      <c r="B8" s="29"/>
      <c r="K8" s="103"/>
      <c r="L8" s="124"/>
      <c r="M8" s="128"/>
      <c r="N8" s="124"/>
    </row>
    <row r="9" spans="1:14" ht="15.75" customHeight="1">
      <c r="A9" s="708" t="s">
        <v>2</v>
      </c>
      <c r="B9" s="708" t="s">
        <v>3</v>
      </c>
      <c r="C9" s="677" t="s">
        <v>4</v>
      </c>
      <c r="D9" s="677"/>
      <c r="E9" s="677"/>
      <c r="F9" s="727"/>
      <c r="G9" s="766"/>
      <c r="H9" s="728" t="s">
        <v>98</v>
      </c>
      <c r="I9" s="728"/>
      <c r="J9" s="728"/>
      <c r="K9" s="728"/>
      <c r="L9" s="728"/>
      <c r="M9" s="708" t="s">
        <v>131</v>
      </c>
      <c r="N9" s="674" t="s">
        <v>132</v>
      </c>
    </row>
    <row r="10" spans="1:19" ht="38.25">
      <c r="A10" s="710"/>
      <c r="B10" s="710"/>
      <c r="C10" s="257" t="s">
        <v>505</v>
      </c>
      <c r="D10" s="257" t="s">
        <v>6</v>
      </c>
      <c r="E10" s="257" t="s">
        <v>353</v>
      </c>
      <c r="F10" s="253" t="s">
        <v>96</v>
      </c>
      <c r="G10" s="267" t="s">
        <v>354</v>
      </c>
      <c r="H10" s="257" t="s">
        <v>5</v>
      </c>
      <c r="I10" s="257" t="s">
        <v>6</v>
      </c>
      <c r="J10" s="257" t="s">
        <v>353</v>
      </c>
      <c r="K10" s="253" t="s">
        <v>96</v>
      </c>
      <c r="L10" s="253" t="s">
        <v>355</v>
      </c>
      <c r="M10" s="710"/>
      <c r="N10" s="674"/>
      <c r="R10" s="13"/>
      <c r="S10" s="13"/>
    </row>
    <row r="11" spans="1:14" s="15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</row>
    <row r="12" spans="1:14" ht="12.75">
      <c r="A12" s="8">
        <v>1</v>
      </c>
      <c r="B12" s="19" t="s">
        <v>473</v>
      </c>
      <c r="C12" s="9">
        <v>555</v>
      </c>
      <c r="D12" s="9">
        <v>22</v>
      </c>
      <c r="E12" s="9">
        <v>0</v>
      </c>
      <c r="F12" s="72">
        <v>22</v>
      </c>
      <c r="G12" s="10">
        <f>SUM(C12:F12)</f>
        <v>599</v>
      </c>
      <c r="H12" s="9">
        <f>C12</f>
        <v>555</v>
      </c>
      <c r="I12" s="9">
        <f>D12</f>
        <v>22</v>
      </c>
      <c r="J12" s="9">
        <f>E12</f>
        <v>0</v>
      </c>
      <c r="K12" s="9">
        <f>F12</f>
        <v>22</v>
      </c>
      <c r="L12" s="9">
        <f>SUM(H12:K12)</f>
        <v>599</v>
      </c>
      <c r="M12" s="9">
        <f>G12-L12</f>
        <v>0</v>
      </c>
      <c r="N12" s="767" t="s">
        <v>509</v>
      </c>
    </row>
    <row r="13" spans="1:14" ht="12.75">
      <c r="A13" s="8">
        <v>2</v>
      </c>
      <c r="B13" s="19" t="s">
        <v>474</v>
      </c>
      <c r="C13" s="9">
        <v>516</v>
      </c>
      <c r="D13" s="9">
        <v>2</v>
      </c>
      <c r="E13" s="9">
        <v>0</v>
      </c>
      <c r="F13" s="72">
        <v>69</v>
      </c>
      <c r="G13" s="10">
        <f aca="true" t="shared" si="0" ref="G13:G19">SUM(C13:F13)</f>
        <v>587</v>
      </c>
      <c r="H13" s="9">
        <f aca="true" t="shared" si="1" ref="H13:H19">C13</f>
        <v>516</v>
      </c>
      <c r="I13" s="9">
        <f aca="true" t="shared" si="2" ref="I13:I19">D13</f>
        <v>2</v>
      </c>
      <c r="J13" s="9">
        <f aca="true" t="shared" si="3" ref="J13:J19">E13</f>
        <v>0</v>
      </c>
      <c r="K13" s="9">
        <f aca="true" t="shared" si="4" ref="K13:K19">F13</f>
        <v>69</v>
      </c>
      <c r="L13" s="9">
        <f aca="true" t="shared" si="5" ref="L13:L19">SUM(H13:K13)</f>
        <v>587</v>
      </c>
      <c r="M13" s="9">
        <f aca="true" t="shared" si="6" ref="M13:M19">G13-L13</f>
        <v>0</v>
      </c>
      <c r="N13" s="768"/>
    </row>
    <row r="14" spans="1:14" ht="12.75">
      <c r="A14" s="8">
        <v>3</v>
      </c>
      <c r="B14" s="19" t="s">
        <v>475</v>
      </c>
      <c r="C14" s="9">
        <v>449</v>
      </c>
      <c r="D14" s="9">
        <v>5</v>
      </c>
      <c r="E14" s="9">
        <v>0</v>
      </c>
      <c r="F14" s="72">
        <v>2</v>
      </c>
      <c r="G14" s="10">
        <f t="shared" si="0"/>
        <v>456</v>
      </c>
      <c r="H14" s="9">
        <f t="shared" si="1"/>
        <v>449</v>
      </c>
      <c r="I14" s="9">
        <f t="shared" si="2"/>
        <v>5</v>
      </c>
      <c r="J14" s="9">
        <f t="shared" si="3"/>
        <v>0</v>
      </c>
      <c r="K14" s="9">
        <f t="shared" si="4"/>
        <v>2</v>
      </c>
      <c r="L14" s="9">
        <f t="shared" si="5"/>
        <v>456</v>
      </c>
      <c r="M14" s="9">
        <f t="shared" si="6"/>
        <v>0</v>
      </c>
      <c r="N14" s="768"/>
    </row>
    <row r="15" spans="1:14" ht="12.75">
      <c r="A15" s="8">
        <v>4</v>
      </c>
      <c r="B15" s="19" t="s">
        <v>476</v>
      </c>
      <c r="C15" s="9">
        <v>513</v>
      </c>
      <c r="D15" s="9">
        <v>1</v>
      </c>
      <c r="E15" s="9">
        <v>0</v>
      </c>
      <c r="F15" s="72">
        <v>14</v>
      </c>
      <c r="G15" s="10">
        <f t="shared" si="0"/>
        <v>528</v>
      </c>
      <c r="H15" s="9">
        <f t="shared" si="1"/>
        <v>513</v>
      </c>
      <c r="I15" s="9">
        <f t="shared" si="2"/>
        <v>1</v>
      </c>
      <c r="J15" s="9">
        <f t="shared" si="3"/>
        <v>0</v>
      </c>
      <c r="K15" s="9">
        <f t="shared" si="4"/>
        <v>14</v>
      </c>
      <c r="L15" s="9">
        <f t="shared" si="5"/>
        <v>528</v>
      </c>
      <c r="M15" s="9">
        <f t="shared" si="6"/>
        <v>0</v>
      </c>
      <c r="N15" s="768"/>
    </row>
    <row r="16" spans="1:14" ht="12.75">
      <c r="A16" s="8">
        <v>5</v>
      </c>
      <c r="B16" s="19" t="s">
        <v>477</v>
      </c>
      <c r="C16" s="9">
        <v>613</v>
      </c>
      <c r="D16" s="9">
        <v>0</v>
      </c>
      <c r="E16" s="9">
        <v>0</v>
      </c>
      <c r="F16" s="72">
        <v>4</v>
      </c>
      <c r="G16" s="10">
        <f t="shared" si="0"/>
        <v>617</v>
      </c>
      <c r="H16" s="9">
        <f t="shared" si="1"/>
        <v>613</v>
      </c>
      <c r="I16" s="9">
        <f t="shared" si="2"/>
        <v>0</v>
      </c>
      <c r="J16" s="9">
        <f t="shared" si="3"/>
        <v>0</v>
      </c>
      <c r="K16" s="9">
        <f t="shared" si="4"/>
        <v>4</v>
      </c>
      <c r="L16" s="9">
        <f t="shared" si="5"/>
        <v>617</v>
      </c>
      <c r="M16" s="9">
        <f t="shared" si="6"/>
        <v>0</v>
      </c>
      <c r="N16" s="768"/>
    </row>
    <row r="17" spans="1:14" ht="12.75">
      <c r="A17" s="8">
        <v>6</v>
      </c>
      <c r="B17" s="19" t="s">
        <v>478</v>
      </c>
      <c r="C17" s="9">
        <v>285</v>
      </c>
      <c r="D17" s="9">
        <v>3</v>
      </c>
      <c r="E17" s="9">
        <v>0</v>
      </c>
      <c r="F17" s="72">
        <v>34</v>
      </c>
      <c r="G17" s="10">
        <f t="shared" si="0"/>
        <v>322</v>
      </c>
      <c r="H17" s="9">
        <f t="shared" si="1"/>
        <v>285</v>
      </c>
      <c r="I17" s="9">
        <f t="shared" si="2"/>
        <v>3</v>
      </c>
      <c r="J17" s="9">
        <f t="shared" si="3"/>
        <v>0</v>
      </c>
      <c r="K17" s="9">
        <f t="shared" si="4"/>
        <v>34</v>
      </c>
      <c r="L17" s="9">
        <f t="shared" si="5"/>
        <v>322</v>
      </c>
      <c r="M17" s="9">
        <f t="shared" si="6"/>
        <v>0</v>
      </c>
      <c r="N17" s="768"/>
    </row>
    <row r="18" spans="1:14" ht="12.75">
      <c r="A18" s="8">
        <v>7</v>
      </c>
      <c r="B18" s="19" t="s">
        <v>479</v>
      </c>
      <c r="C18" s="9">
        <v>453</v>
      </c>
      <c r="D18" s="9">
        <v>1</v>
      </c>
      <c r="E18" s="9">
        <v>0</v>
      </c>
      <c r="F18" s="72">
        <v>21</v>
      </c>
      <c r="G18" s="10">
        <f t="shared" si="0"/>
        <v>475</v>
      </c>
      <c r="H18" s="9">
        <f t="shared" si="1"/>
        <v>453</v>
      </c>
      <c r="I18" s="9">
        <f t="shared" si="2"/>
        <v>1</v>
      </c>
      <c r="J18" s="9">
        <f t="shared" si="3"/>
        <v>0</v>
      </c>
      <c r="K18" s="9">
        <f t="shared" si="4"/>
        <v>21</v>
      </c>
      <c r="L18" s="9">
        <f t="shared" si="5"/>
        <v>475</v>
      </c>
      <c r="M18" s="9">
        <f t="shared" si="6"/>
        <v>0</v>
      </c>
      <c r="N18" s="768"/>
    </row>
    <row r="19" spans="1:14" ht="12.75">
      <c r="A19" s="8">
        <v>8</v>
      </c>
      <c r="B19" s="19" t="s">
        <v>480</v>
      </c>
      <c r="C19" s="9">
        <v>809</v>
      </c>
      <c r="D19" s="9">
        <v>0</v>
      </c>
      <c r="E19" s="9">
        <v>0</v>
      </c>
      <c r="F19" s="72">
        <v>3</v>
      </c>
      <c r="G19" s="10">
        <f t="shared" si="0"/>
        <v>812</v>
      </c>
      <c r="H19" s="9">
        <f t="shared" si="1"/>
        <v>809</v>
      </c>
      <c r="I19" s="9">
        <f t="shared" si="2"/>
        <v>0</v>
      </c>
      <c r="J19" s="9">
        <f t="shared" si="3"/>
        <v>0</v>
      </c>
      <c r="K19" s="9">
        <f t="shared" si="4"/>
        <v>3</v>
      </c>
      <c r="L19" s="9">
        <f t="shared" si="5"/>
        <v>812</v>
      </c>
      <c r="M19" s="9">
        <f t="shared" si="6"/>
        <v>0</v>
      </c>
      <c r="N19" s="769"/>
    </row>
    <row r="20" spans="1:14" s="15" customFormat="1" ht="12.75">
      <c r="A20" s="3"/>
      <c r="B20" s="27" t="s">
        <v>481</v>
      </c>
      <c r="C20" s="27">
        <f>SUM(C12:C19)</f>
        <v>4193</v>
      </c>
      <c r="D20" s="27">
        <f aca="true" t="shared" si="7" ref="D20:M20">SUM(D12:D19)</f>
        <v>34</v>
      </c>
      <c r="E20" s="27">
        <f>SUM(E12:E19)</f>
        <v>0</v>
      </c>
      <c r="F20" s="27">
        <f t="shared" si="7"/>
        <v>169</v>
      </c>
      <c r="G20" s="27">
        <f t="shared" si="7"/>
        <v>4396</v>
      </c>
      <c r="H20" s="27">
        <f t="shared" si="7"/>
        <v>4193</v>
      </c>
      <c r="I20" s="27">
        <f t="shared" si="7"/>
        <v>34</v>
      </c>
      <c r="J20" s="27">
        <f t="shared" si="7"/>
        <v>0</v>
      </c>
      <c r="K20" s="27">
        <f t="shared" si="7"/>
        <v>169</v>
      </c>
      <c r="L20" s="27">
        <f t="shared" si="7"/>
        <v>4396</v>
      </c>
      <c r="M20" s="27">
        <f t="shared" si="7"/>
        <v>0</v>
      </c>
      <c r="N20" s="27"/>
    </row>
    <row r="21" spans="1:13" ht="12.7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ht="12.75">
      <c r="A22" s="11" t="s">
        <v>8</v>
      </c>
    </row>
    <row r="23" spans="1:11" ht="12.75">
      <c r="A23" t="s">
        <v>9</v>
      </c>
      <c r="K23" s="16" t="s">
        <v>11</v>
      </c>
    </row>
    <row r="24" spans="1:12" ht="12.75">
      <c r="A24" t="s">
        <v>10</v>
      </c>
      <c r="J24" s="12" t="s">
        <v>11</v>
      </c>
      <c r="K24" s="12"/>
      <c r="L24" s="12" t="s">
        <v>11</v>
      </c>
    </row>
    <row r="25" spans="1:12" ht="12.75">
      <c r="A25" s="16" t="s">
        <v>430</v>
      </c>
      <c r="J25" s="12"/>
      <c r="K25" s="12"/>
      <c r="L25" s="12"/>
    </row>
    <row r="26" spans="3:13" ht="12.75">
      <c r="C26" s="16" t="s">
        <v>431</v>
      </c>
      <c r="E26" s="13"/>
      <c r="F26" s="13"/>
      <c r="G26" s="13"/>
      <c r="H26" s="13"/>
      <c r="I26" s="13"/>
      <c r="J26" s="13"/>
      <c r="K26" s="13"/>
      <c r="L26" s="13"/>
      <c r="M26" s="13"/>
    </row>
    <row r="27" spans="5:13" s="16" customFormat="1" ht="12.75">
      <c r="E27" s="21"/>
      <c r="F27" s="21"/>
      <c r="G27" s="21"/>
      <c r="H27" s="21"/>
      <c r="I27" s="21"/>
      <c r="J27" s="21"/>
      <c r="K27" s="21"/>
      <c r="L27" s="21"/>
      <c r="M27" s="21"/>
    </row>
    <row r="28" spans="1:15" s="16" customFormat="1" ht="15" customHeight="1">
      <c r="A28" s="15" t="s">
        <v>12</v>
      </c>
      <c r="B28" s="15"/>
      <c r="C28" s="15"/>
      <c r="D28" s="15"/>
      <c r="E28" s="15"/>
      <c r="F28" s="15"/>
      <c r="G28" s="15"/>
      <c r="J28" s="15"/>
      <c r="K28" s="699"/>
      <c r="L28" s="699"/>
      <c r="M28" s="699"/>
      <c r="N28" s="699"/>
      <c r="O28" s="86"/>
    </row>
    <row r="29" spans="2:14" s="16" customFormat="1" ht="15" customHeight="1">
      <c r="B29" s="86"/>
      <c r="C29" s="86"/>
      <c r="D29" s="86"/>
      <c r="E29" s="86"/>
      <c r="F29" s="86"/>
      <c r="G29" s="86"/>
      <c r="H29" s="86"/>
      <c r="I29" s="86"/>
      <c r="J29" s="86"/>
      <c r="K29" s="699" t="s">
        <v>1062</v>
      </c>
      <c r="L29" s="699"/>
      <c r="M29" s="699"/>
      <c r="N29" s="699"/>
    </row>
    <row r="30" spans="2:14" s="16" customFormat="1" ht="12.75" customHeight="1">
      <c r="B30" s="86"/>
      <c r="C30" s="86"/>
      <c r="D30" s="86"/>
      <c r="E30" s="86"/>
      <c r="F30" s="86"/>
      <c r="G30" s="86"/>
      <c r="H30" s="86"/>
      <c r="I30" s="86"/>
      <c r="J30" s="86"/>
      <c r="K30" s="699" t="s">
        <v>485</v>
      </c>
      <c r="L30" s="699"/>
      <c r="M30" s="699"/>
      <c r="N30" s="699"/>
    </row>
    <row r="31" spans="11:14" s="16" customFormat="1" ht="12.75">
      <c r="K31" s="668" t="s">
        <v>80</v>
      </c>
      <c r="L31" s="668"/>
      <c r="M31" s="668"/>
      <c r="N31" s="668"/>
    </row>
    <row r="32" spans="1:13" ht="12.75">
      <c r="A32" s="765"/>
      <c r="B32" s="765"/>
      <c r="C32" s="765"/>
      <c r="D32" s="765"/>
      <c r="E32" s="765"/>
      <c r="F32" s="765"/>
      <c r="G32" s="765"/>
      <c r="H32" s="765"/>
      <c r="I32" s="765"/>
      <c r="J32" s="765"/>
      <c r="K32" s="765"/>
      <c r="L32" s="765"/>
      <c r="M32" s="765"/>
    </row>
  </sheetData>
  <sheetProtection/>
  <mergeCells count="19">
    <mergeCell ref="A7:B7"/>
    <mergeCell ref="M9:M10"/>
    <mergeCell ref="D1:I1"/>
    <mergeCell ref="A5:M5"/>
    <mergeCell ref="A3:M3"/>
    <mergeCell ref="A2:M2"/>
    <mergeCell ref="B9:B10"/>
    <mergeCell ref="A9:A10"/>
    <mergeCell ref="L1:N1"/>
    <mergeCell ref="L7:N7"/>
    <mergeCell ref="K29:N29"/>
    <mergeCell ref="K30:N30"/>
    <mergeCell ref="A32:M32"/>
    <mergeCell ref="H9:L9"/>
    <mergeCell ref="C9:G9"/>
    <mergeCell ref="K31:N31"/>
    <mergeCell ref="N9:N10"/>
    <mergeCell ref="K28:N28"/>
    <mergeCell ref="N12:N19"/>
  </mergeCells>
  <printOptions horizontalCentered="1"/>
  <pageMargins left="0.48" right="0.13" top="1.01" bottom="0" header="0.76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Mridula sircar</cp:lastModifiedBy>
  <cp:lastPrinted>2020-05-01T10:23:23Z</cp:lastPrinted>
  <dcterms:created xsi:type="dcterms:W3CDTF">1996-10-14T23:33:28Z</dcterms:created>
  <dcterms:modified xsi:type="dcterms:W3CDTF">2020-06-26T06:41:34Z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